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020" windowHeight="8580" activeTab="2"/>
  </bookViews>
  <sheets>
    <sheet name="analisi di bilancio" sheetId="1" r:id="rId1"/>
    <sheet name="bep e leva operativa" sheetId="2" r:id="rId2"/>
    <sheet name="leva finanziaria" sheetId="3" r:id="rId3"/>
  </sheets>
  <calcPr calcId="145621"/>
</workbook>
</file>

<file path=xl/calcChain.xml><?xml version="1.0" encoding="utf-8"?>
<calcChain xmlns="http://schemas.openxmlformats.org/spreadsheetml/2006/main">
  <c r="B91" i="1" l="1"/>
  <c r="B90" i="1"/>
  <c r="B89" i="1"/>
  <c r="B32" i="3"/>
  <c r="B125" i="1"/>
  <c r="B123" i="1"/>
  <c r="B118" i="1"/>
  <c r="B106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88" i="1"/>
  <c r="B86" i="1"/>
  <c r="B84" i="1"/>
  <c r="B83" i="1"/>
  <c r="B82" i="1"/>
  <c r="B81" i="1"/>
  <c r="B80" i="1"/>
  <c r="B79" i="1"/>
  <c r="AA77" i="1"/>
  <c r="Z77" i="1"/>
  <c r="Y77" i="1"/>
  <c r="X77" i="1"/>
  <c r="U77" i="1"/>
  <c r="T77" i="1"/>
  <c r="S77" i="1"/>
  <c r="R77" i="1"/>
  <c r="P77" i="1"/>
  <c r="O77" i="1"/>
  <c r="N77" i="1"/>
  <c r="M77" i="1"/>
  <c r="J77" i="1"/>
  <c r="I77" i="1"/>
  <c r="H77" i="1"/>
  <c r="G77" i="1"/>
  <c r="E77" i="1"/>
  <c r="D77" i="1"/>
  <c r="C77" i="1"/>
  <c r="B78" i="1"/>
  <c r="B77" i="1"/>
  <c r="B73" i="1"/>
  <c r="B71" i="1"/>
  <c r="B70" i="1"/>
  <c r="X107" i="1"/>
  <c r="AA105" i="1"/>
  <c r="AA104" i="1"/>
  <c r="AA103" i="1"/>
  <c r="C47" i="3"/>
  <c r="D47" i="3"/>
  <c r="E47" i="3"/>
  <c r="C49" i="3"/>
  <c r="D49" i="3"/>
  <c r="E49" i="3"/>
  <c r="B49" i="3"/>
  <c r="B40" i="3"/>
  <c r="B47" i="3"/>
  <c r="C57" i="2"/>
  <c r="D57" i="2"/>
  <c r="E57" i="2"/>
  <c r="B57" i="2"/>
  <c r="C62" i="2"/>
  <c r="C58" i="2" s="1"/>
  <c r="D62" i="2"/>
  <c r="E62" i="2"/>
  <c r="E59" i="2" s="1"/>
  <c r="E60" i="2" s="1"/>
  <c r="B62" i="2"/>
  <c r="B59" i="2" s="1"/>
  <c r="B60" i="2" s="1"/>
  <c r="C40" i="3"/>
  <c r="D40" i="3"/>
  <c r="E40" i="3"/>
  <c r="C38" i="3"/>
  <c r="D38" i="3"/>
  <c r="E38" i="3"/>
  <c r="B38" i="3"/>
  <c r="B45" i="2"/>
  <c r="B42" i="2"/>
  <c r="B43" i="2" s="1"/>
  <c r="B44" i="2" s="1"/>
  <c r="C42" i="2"/>
  <c r="D42" i="2"/>
  <c r="D43" i="2" s="1"/>
  <c r="D44" i="2" s="1"/>
  <c r="E42" i="2"/>
  <c r="E43" i="2" s="1"/>
  <c r="E44" i="2" s="1"/>
  <c r="C43" i="2"/>
  <c r="C44" i="2" s="1"/>
  <c r="C45" i="2"/>
  <c r="D45" i="2"/>
  <c r="E45" i="2"/>
  <c r="C32" i="3"/>
  <c r="C30" i="3" s="1"/>
  <c r="D32" i="3"/>
  <c r="D30" i="3" s="1"/>
  <c r="E32" i="3"/>
  <c r="E30" i="3"/>
  <c r="C28" i="3"/>
  <c r="D28" i="3"/>
  <c r="E28" i="3"/>
  <c r="B30" i="3"/>
  <c r="B28" i="3"/>
  <c r="C31" i="2"/>
  <c r="C33" i="2" s="1"/>
  <c r="D31" i="2"/>
  <c r="D32" i="2" s="1"/>
  <c r="E31" i="2"/>
  <c r="E32" i="2" s="1"/>
  <c r="E33" i="2"/>
  <c r="C34" i="2"/>
  <c r="D34" i="2"/>
  <c r="E34" i="2"/>
  <c r="B9" i="2"/>
  <c r="B34" i="2"/>
  <c r="B33" i="2"/>
  <c r="B31" i="2"/>
  <c r="B32" i="2" s="1"/>
  <c r="C18" i="3"/>
  <c r="D18" i="3"/>
  <c r="E18" i="3"/>
  <c r="C22" i="3"/>
  <c r="C20" i="3" s="1"/>
  <c r="D22" i="3"/>
  <c r="D20" i="3" s="1"/>
  <c r="E22" i="3"/>
  <c r="E20" i="3" s="1"/>
  <c r="B20" i="3"/>
  <c r="B22" i="3"/>
  <c r="B18" i="3"/>
  <c r="C19" i="2"/>
  <c r="C20" i="2" s="1"/>
  <c r="D19" i="2"/>
  <c r="D20" i="2" s="1"/>
  <c r="E19" i="2"/>
  <c r="E20" i="2"/>
  <c r="E21" i="2"/>
  <c r="C22" i="2"/>
  <c r="D22" i="2"/>
  <c r="E22" i="2"/>
  <c r="B22" i="2"/>
  <c r="B19" i="2"/>
  <c r="B20" i="2" s="1"/>
  <c r="C9" i="2"/>
  <c r="C10" i="2" s="1"/>
  <c r="C8" i="3"/>
  <c r="D8" i="3"/>
  <c r="E8" i="3"/>
  <c r="C11" i="3"/>
  <c r="C9" i="3" s="1"/>
  <c r="D11" i="3"/>
  <c r="E11" i="3"/>
  <c r="E9" i="3" s="1"/>
  <c r="C12" i="3"/>
  <c r="D12" i="3"/>
  <c r="D9" i="3" s="1"/>
  <c r="E12" i="3"/>
  <c r="B12" i="3"/>
  <c r="B11" i="3"/>
  <c r="B9" i="3" s="1"/>
  <c r="B8" i="3"/>
  <c r="C7" i="2"/>
  <c r="C8" i="2" s="1"/>
  <c r="D7" i="2"/>
  <c r="D8" i="2" s="1"/>
  <c r="E7" i="2"/>
  <c r="E8" i="2" s="1"/>
  <c r="D9" i="2"/>
  <c r="D10" i="2" s="1"/>
  <c r="E9" i="2"/>
  <c r="E10" i="2" s="1"/>
  <c r="B10" i="2"/>
  <c r="B7" i="2"/>
  <c r="B8" i="2" s="1"/>
  <c r="B21" i="2" l="1"/>
  <c r="B58" i="2"/>
  <c r="C32" i="2"/>
  <c r="E58" i="2"/>
  <c r="D59" i="2"/>
  <c r="D60" i="2" s="1"/>
  <c r="D58" i="2"/>
  <c r="C59" i="2"/>
  <c r="C60" i="2" s="1"/>
  <c r="D33" i="2"/>
  <c r="D21" i="2"/>
  <c r="C21" i="2"/>
  <c r="T38" i="1"/>
  <c r="H7" i="1"/>
  <c r="AA107" i="1"/>
  <c r="AA114" i="1" s="1"/>
  <c r="Z107" i="1"/>
  <c r="Z114" i="1" s="1"/>
  <c r="Y107" i="1"/>
  <c r="Y114" i="1" s="1"/>
  <c r="X114" i="1"/>
  <c r="AA106" i="1"/>
  <c r="AA113" i="1" s="1"/>
  <c r="Z106" i="1"/>
  <c r="Z113" i="1" s="1"/>
  <c r="Y106" i="1"/>
  <c r="Y113" i="1" s="1"/>
  <c r="X106" i="1"/>
  <c r="X113" i="1" s="1"/>
  <c r="Z103" i="1"/>
  <c r="Z110" i="1" s="1"/>
  <c r="Y103" i="1"/>
  <c r="Y110" i="1" s="1"/>
  <c r="X103" i="1"/>
  <c r="X110" i="1" s="1"/>
  <c r="U107" i="1"/>
  <c r="U114" i="1" s="1"/>
  <c r="T107" i="1"/>
  <c r="T114" i="1" s="1"/>
  <c r="S107" i="1"/>
  <c r="S114" i="1" s="1"/>
  <c r="R107" i="1"/>
  <c r="R114" i="1" s="1"/>
  <c r="U106" i="1"/>
  <c r="U113" i="1" s="1"/>
  <c r="T106" i="1"/>
  <c r="T113" i="1" s="1"/>
  <c r="S106" i="1"/>
  <c r="S113" i="1" s="1"/>
  <c r="R106" i="1"/>
  <c r="R113" i="1" s="1"/>
  <c r="U103" i="1"/>
  <c r="U110" i="1" s="1"/>
  <c r="T103" i="1"/>
  <c r="T110" i="1" s="1"/>
  <c r="S103" i="1"/>
  <c r="S110" i="1" s="1"/>
  <c r="R103" i="1"/>
  <c r="R110" i="1" s="1"/>
  <c r="P107" i="1"/>
  <c r="P114" i="1" s="1"/>
  <c r="O107" i="1"/>
  <c r="O114" i="1" s="1"/>
  <c r="N107" i="1"/>
  <c r="N114" i="1" s="1"/>
  <c r="M107" i="1"/>
  <c r="M114" i="1" s="1"/>
  <c r="P106" i="1"/>
  <c r="P113" i="1" s="1"/>
  <c r="O106" i="1"/>
  <c r="O113" i="1" s="1"/>
  <c r="N106" i="1"/>
  <c r="N113" i="1" s="1"/>
  <c r="M106" i="1"/>
  <c r="M113" i="1" s="1"/>
  <c r="P103" i="1"/>
  <c r="P110" i="1" s="1"/>
  <c r="O103" i="1"/>
  <c r="O110" i="1" s="1"/>
  <c r="N103" i="1"/>
  <c r="N110" i="1" s="1"/>
  <c r="M103" i="1"/>
  <c r="M110" i="1" s="1"/>
  <c r="J107" i="1"/>
  <c r="J114" i="1" s="1"/>
  <c r="I107" i="1"/>
  <c r="I114" i="1" s="1"/>
  <c r="H107" i="1"/>
  <c r="H114" i="1" s="1"/>
  <c r="G107" i="1"/>
  <c r="G114" i="1" s="1"/>
  <c r="J106" i="1"/>
  <c r="J113" i="1" s="1"/>
  <c r="I106" i="1"/>
  <c r="I113" i="1" s="1"/>
  <c r="H106" i="1"/>
  <c r="H113" i="1" s="1"/>
  <c r="G106" i="1"/>
  <c r="G113" i="1" s="1"/>
  <c r="J103" i="1"/>
  <c r="J110" i="1" s="1"/>
  <c r="I103" i="1"/>
  <c r="I110" i="1" s="1"/>
  <c r="H103" i="1"/>
  <c r="H110" i="1" s="1"/>
  <c r="G103" i="1"/>
  <c r="G110" i="1" s="1"/>
  <c r="E107" i="1"/>
  <c r="E114" i="1" s="1"/>
  <c r="D107" i="1"/>
  <c r="D114" i="1" s="1"/>
  <c r="C107" i="1"/>
  <c r="C114" i="1" s="1"/>
  <c r="E106" i="1"/>
  <c r="E113" i="1" s="1"/>
  <c r="D106" i="1"/>
  <c r="D113" i="1" s="1"/>
  <c r="C106" i="1"/>
  <c r="C113" i="1" s="1"/>
  <c r="E103" i="1"/>
  <c r="D103" i="1"/>
  <c r="D110" i="1" s="1"/>
  <c r="C103" i="1"/>
  <c r="C110" i="1" s="1"/>
  <c r="B107" i="1"/>
  <c r="B114" i="1" s="1"/>
  <c r="B113" i="1"/>
  <c r="B110" i="1"/>
  <c r="AA97" i="1"/>
  <c r="AA102" i="1" s="1"/>
  <c r="Z97" i="1"/>
  <c r="Z102" i="1" s="1"/>
  <c r="Y97" i="1"/>
  <c r="Y102" i="1" s="1"/>
  <c r="X97" i="1"/>
  <c r="X102" i="1" s="1"/>
  <c r="AA94" i="1"/>
  <c r="AA95" i="1" s="1"/>
  <c r="AA96" i="1" s="1"/>
  <c r="AA98" i="1" s="1"/>
  <c r="Z94" i="1"/>
  <c r="Z95" i="1" s="1"/>
  <c r="Z96" i="1" s="1"/>
  <c r="Y94" i="1"/>
  <c r="Y95" i="1" s="1"/>
  <c r="Y96" i="1" s="1"/>
  <c r="Y98" i="1" s="1"/>
  <c r="X94" i="1"/>
  <c r="X95" i="1" s="1"/>
  <c r="X96" i="1" s="1"/>
  <c r="U97" i="1"/>
  <c r="U102" i="1" s="1"/>
  <c r="T97" i="1"/>
  <c r="T102" i="1" s="1"/>
  <c r="S97" i="1"/>
  <c r="S102" i="1" s="1"/>
  <c r="R97" i="1"/>
  <c r="R102" i="1" s="1"/>
  <c r="U94" i="1"/>
  <c r="U95" i="1" s="1"/>
  <c r="U96" i="1" s="1"/>
  <c r="T94" i="1"/>
  <c r="T95" i="1" s="1"/>
  <c r="T96" i="1" s="1"/>
  <c r="S94" i="1"/>
  <c r="S95" i="1" s="1"/>
  <c r="S96" i="1" s="1"/>
  <c r="R94" i="1"/>
  <c r="R95" i="1" s="1"/>
  <c r="R96" i="1" s="1"/>
  <c r="R98" i="1" s="1"/>
  <c r="P97" i="1"/>
  <c r="P102" i="1" s="1"/>
  <c r="O97" i="1"/>
  <c r="O102" i="1" s="1"/>
  <c r="N97" i="1"/>
  <c r="N102" i="1" s="1"/>
  <c r="M97" i="1"/>
  <c r="M102" i="1" s="1"/>
  <c r="P94" i="1"/>
  <c r="P95" i="1" s="1"/>
  <c r="P96" i="1" s="1"/>
  <c r="P98" i="1" s="1"/>
  <c r="O94" i="1"/>
  <c r="O95" i="1" s="1"/>
  <c r="O96" i="1" s="1"/>
  <c r="O98" i="1" s="1"/>
  <c r="N94" i="1"/>
  <c r="N95" i="1" s="1"/>
  <c r="N96" i="1" s="1"/>
  <c r="N98" i="1" s="1"/>
  <c r="M94" i="1"/>
  <c r="M95" i="1" s="1"/>
  <c r="M96" i="1" s="1"/>
  <c r="M98" i="1" s="1"/>
  <c r="J97" i="1"/>
  <c r="J102" i="1" s="1"/>
  <c r="I97" i="1"/>
  <c r="I102" i="1" s="1"/>
  <c r="H97" i="1"/>
  <c r="H102" i="1" s="1"/>
  <c r="G97" i="1"/>
  <c r="G102" i="1" s="1"/>
  <c r="J94" i="1"/>
  <c r="J95" i="1" s="1"/>
  <c r="J96" i="1" s="1"/>
  <c r="J98" i="1" s="1"/>
  <c r="I94" i="1"/>
  <c r="I95" i="1" s="1"/>
  <c r="I96" i="1" s="1"/>
  <c r="I98" i="1" s="1"/>
  <c r="H94" i="1"/>
  <c r="H95" i="1" s="1"/>
  <c r="H96" i="1" s="1"/>
  <c r="G94" i="1"/>
  <c r="G95" i="1" s="1"/>
  <c r="G96" i="1" s="1"/>
  <c r="C94" i="1"/>
  <c r="C95" i="1" s="1"/>
  <c r="C96" i="1" s="1"/>
  <c r="C101" i="1" s="1"/>
  <c r="C118" i="1" s="1"/>
  <c r="D94" i="1"/>
  <c r="D95" i="1" s="1"/>
  <c r="D96" i="1" s="1"/>
  <c r="E94" i="1"/>
  <c r="E95" i="1" s="1"/>
  <c r="E96" i="1" s="1"/>
  <c r="E101" i="1" s="1"/>
  <c r="E118" i="1" s="1"/>
  <c r="C97" i="1"/>
  <c r="C102" i="1" s="1"/>
  <c r="D97" i="1"/>
  <c r="D102" i="1" s="1"/>
  <c r="E97" i="1"/>
  <c r="E102" i="1" s="1"/>
  <c r="AA74" i="1"/>
  <c r="Z74" i="1"/>
  <c r="Y74" i="1"/>
  <c r="X74" i="1"/>
  <c r="U74" i="1"/>
  <c r="T74" i="1"/>
  <c r="S74" i="1"/>
  <c r="R74" i="1"/>
  <c r="P74" i="1"/>
  <c r="O74" i="1"/>
  <c r="N74" i="1"/>
  <c r="M74" i="1"/>
  <c r="J74" i="1"/>
  <c r="I74" i="1"/>
  <c r="H74" i="1"/>
  <c r="G74" i="1"/>
  <c r="C74" i="1"/>
  <c r="D74" i="1"/>
  <c r="E74" i="1"/>
  <c r="B74" i="1"/>
  <c r="Z98" i="1" l="1"/>
  <c r="X98" i="1"/>
  <c r="D98" i="1"/>
  <c r="C100" i="1"/>
  <c r="U98" i="1"/>
  <c r="T98" i="1"/>
  <c r="S98" i="1"/>
  <c r="H98" i="1"/>
  <c r="G98" i="1"/>
  <c r="C98" i="1"/>
  <c r="D100" i="1"/>
  <c r="C99" i="1"/>
  <c r="J99" i="1"/>
  <c r="J100" i="1"/>
  <c r="J101" i="1"/>
  <c r="J118" i="1" s="1"/>
  <c r="P99" i="1"/>
  <c r="P100" i="1"/>
  <c r="P101" i="1"/>
  <c r="P118" i="1" s="1"/>
  <c r="U99" i="1"/>
  <c r="U100" i="1"/>
  <c r="U101" i="1"/>
  <c r="U118" i="1" s="1"/>
  <c r="AA99" i="1"/>
  <c r="AA100" i="1"/>
  <c r="AA101" i="1"/>
  <c r="AA118" i="1" s="1"/>
  <c r="D101" i="1"/>
  <c r="D118" i="1" s="1"/>
  <c r="G99" i="1"/>
  <c r="G100" i="1"/>
  <c r="G101" i="1"/>
  <c r="G118" i="1" s="1"/>
  <c r="M99" i="1"/>
  <c r="M100" i="1"/>
  <c r="M101" i="1"/>
  <c r="M118" i="1" s="1"/>
  <c r="R99" i="1"/>
  <c r="R100" i="1"/>
  <c r="R101" i="1"/>
  <c r="R118" i="1" s="1"/>
  <c r="X99" i="1"/>
  <c r="X100" i="1"/>
  <c r="X101" i="1"/>
  <c r="X118" i="1" s="1"/>
  <c r="E99" i="1"/>
  <c r="H99" i="1"/>
  <c r="H100" i="1"/>
  <c r="H101" i="1"/>
  <c r="H118" i="1" s="1"/>
  <c r="N99" i="1"/>
  <c r="N100" i="1"/>
  <c r="N101" i="1"/>
  <c r="N118" i="1" s="1"/>
  <c r="S99" i="1"/>
  <c r="S100" i="1"/>
  <c r="S101" i="1"/>
  <c r="S118" i="1" s="1"/>
  <c r="Y99" i="1"/>
  <c r="Y100" i="1"/>
  <c r="Y101" i="1"/>
  <c r="Y118" i="1" s="1"/>
  <c r="E100" i="1"/>
  <c r="D99" i="1"/>
  <c r="I99" i="1"/>
  <c r="I100" i="1"/>
  <c r="I101" i="1"/>
  <c r="I118" i="1" s="1"/>
  <c r="O99" i="1"/>
  <c r="O100" i="1"/>
  <c r="O101" i="1"/>
  <c r="O118" i="1" s="1"/>
  <c r="T99" i="1"/>
  <c r="T100" i="1"/>
  <c r="T101" i="1"/>
  <c r="T118" i="1" s="1"/>
  <c r="Z99" i="1"/>
  <c r="Z100" i="1"/>
  <c r="Z101" i="1"/>
  <c r="Z118" i="1" s="1"/>
  <c r="AA110" i="1"/>
  <c r="E110" i="1"/>
  <c r="E98" i="1"/>
  <c r="AA55" i="1"/>
  <c r="Z55" i="1"/>
  <c r="Y55" i="1"/>
  <c r="X55" i="1"/>
  <c r="AA51" i="1"/>
  <c r="AA63" i="1" s="1"/>
  <c r="Z51" i="1"/>
  <c r="Y51" i="1"/>
  <c r="Y63" i="1" s="1"/>
  <c r="X51" i="1"/>
  <c r="AA45" i="1"/>
  <c r="Z45" i="1"/>
  <c r="Y45" i="1"/>
  <c r="X45" i="1"/>
  <c r="AA38" i="1"/>
  <c r="AA123" i="1" s="1"/>
  <c r="Z38" i="1"/>
  <c r="Z123" i="1" s="1"/>
  <c r="Y38" i="1"/>
  <c r="Y123" i="1" s="1"/>
  <c r="X38" i="1"/>
  <c r="X123" i="1" s="1"/>
  <c r="AA25" i="1"/>
  <c r="Z25" i="1"/>
  <c r="Y25" i="1"/>
  <c r="X25" i="1"/>
  <c r="AA16" i="1"/>
  <c r="Z16" i="1"/>
  <c r="Y16" i="1"/>
  <c r="X16" i="1"/>
  <c r="AA12" i="1"/>
  <c r="AA72" i="1" s="1"/>
  <c r="Z12" i="1"/>
  <c r="Z72" i="1" s="1"/>
  <c r="Y12" i="1"/>
  <c r="Y72" i="1" s="1"/>
  <c r="X12" i="1"/>
  <c r="X72" i="1" s="1"/>
  <c r="AA7" i="1"/>
  <c r="AA4" i="1" s="1"/>
  <c r="Z7" i="1"/>
  <c r="Z4" i="1" s="1"/>
  <c r="Y7" i="1"/>
  <c r="Y4" i="1" s="1"/>
  <c r="X7" i="1"/>
  <c r="X4" i="1" s="1"/>
  <c r="U55" i="1"/>
  <c r="T55" i="1"/>
  <c r="S55" i="1"/>
  <c r="R55" i="1"/>
  <c r="U51" i="1"/>
  <c r="U63" i="1" s="1"/>
  <c r="T51" i="1"/>
  <c r="T63" i="1" s="1"/>
  <c r="S51" i="1"/>
  <c r="R51" i="1"/>
  <c r="U45" i="1"/>
  <c r="T45" i="1"/>
  <c r="S45" i="1"/>
  <c r="R45" i="1"/>
  <c r="U38" i="1"/>
  <c r="U123" i="1" s="1"/>
  <c r="T123" i="1"/>
  <c r="S38" i="1"/>
  <c r="S123" i="1" s="1"/>
  <c r="R38" i="1"/>
  <c r="R123" i="1" s="1"/>
  <c r="U25" i="1"/>
  <c r="T25" i="1"/>
  <c r="S25" i="1"/>
  <c r="R25" i="1"/>
  <c r="U16" i="1"/>
  <c r="T16" i="1"/>
  <c r="S16" i="1"/>
  <c r="R16" i="1"/>
  <c r="U12" i="1"/>
  <c r="U72" i="1" s="1"/>
  <c r="T12" i="1"/>
  <c r="T72" i="1" s="1"/>
  <c r="S12" i="1"/>
  <c r="R12" i="1"/>
  <c r="R72" i="1" s="1"/>
  <c r="U11" i="1"/>
  <c r="U7" i="1"/>
  <c r="U4" i="1" s="1"/>
  <c r="T7" i="1"/>
  <c r="T4" i="1" s="1"/>
  <c r="S7" i="1"/>
  <c r="S4" i="1" s="1"/>
  <c r="S70" i="1" s="1"/>
  <c r="R7" i="1"/>
  <c r="R4" i="1" s="1"/>
  <c r="P55" i="1"/>
  <c r="O55" i="1"/>
  <c r="N55" i="1"/>
  <c r="M55" i="1"/>
  <c r="P51" i="1"/>
  <c r="P63" i="1" s="1"/>
  <c r="O51" i="1"/>
  <c r="O63" i="1" s="1"/>
  <c r="N51" i="1"/>
  <c r="N63" i="1" s="1"/>
  <c r="M51" i="1"/>
  <c r="M63" i="1" s="1"/>
  <c r="P45" i="1"/>
  <c r="O45" i="1"/>
  <c r="N45" i="1"/>
  <c r="M45" i="1"/>
  <c r="P38" i="1"/>
  <c r="P123" i="1" s="1"/>
  <c r="O38" i="1"/>
  <c r="O123" i="1" s="1"/>
  <c r="N38" i="1"/>
  <c r="N123" i="1" s="1"/>
  <c r="M38" i="1"/>
  <c r="M123" i="1" s="1"/>
  <c r="P25" i="1"/>
  <c r="O25" i="1"/>
  <c r="N25" i="1"/>
  <c r="M25" i="1"/>
  <c r="P16" i="1"/>
  <c r="O16" i="1"/>
  <c r="N16" i="1"/>
  <c r="M16" i="1"/>
  <c r="P12" i="1"/>
  <c r="P72" i="1" s="1"/>
  <c r="O12" i="1"/>
  <c r="O72" i="1" s="1"/>
  <c r="N12" i="1"/>
  <c r="M12" i="1"/>
  <c r="M72" i="1" s="1"/>
  <c r="P11" i="1"/>
  <c r="O11" i="1"/>
  <c r="P7" i="1"/>
  <c r="O7" i="1"/>
  <c r="O4" i="1" s="1"/>
  <c r="N7" i="1"/>
  <c r="N4" i="1" s="1"/>
  <c r="M7" i="1"/>
  <c r="M4" i="1" s="1"/>
  <c r="P4" i="1"/>
  <c r="J55" i="1"/>
  <c r="I55" i="1"/>
  <c r="H55" i="1"/>
  <c r="G55" i="1"/>
  <c r="J51" i="1"/>
  <c r="I51" i="1"/>
  <c r="I63" i="1" s="1"/>
  <c r="H51" i="1"/>
  <c r="G51" i="1"/>
  <c r="J45" i="1"/>
  <c r="I45" i="1"/>
  <c r="H45" i="1"/>
  <c r="G45" i="1"/>
  <c r="J38" i="1"/>
  <c r="J123" i="1" s="1"/>
  <c r="I38" i="1"/>
  <c r="I123" i="1" s="1"/>
  <c r="H38" i="1"/>
  <c r="H123" i="1" s="1"/>
  <c r="G38" i="1"/>
  <c r="G123" i="1" s="1"/>
  <c r="J25" i="1"/>
  <c r="I25" i="1"/>
  <c r="H25" i="1"/>
  <c r="G25" i="1"/>
  <c r="J16" i="1"/>
  <c r="I16" i="1"/>
  <c r="H16" i="1"/>
  <c r="G16" i="1"/>
  <c r="J12" i="1"/>
  <c r="J72" i="1" s="1"/>
  <c r="I12" i="1"/>
  <c r="H12" i="1"/>
  <c r="H72" i="1" s="1"/>
  <c r="G12" i="1"/>
  <c r="G72" i="1" s="1"/>
  <c r="J11" i="1"/>
  <c r="J7" i="1"/>
  <c r="J4" i="1" s="1"/>
  <c r="J70" i="1" s="1"/>
  <c r="I7" i="1"/>
  <c r="I4" i="1" s="1"/>
  <c r="I70" i="1" s="1"/>
  <c r="G7" i="1"/>
  <c r="G4" i="1" s="1"/>
  <c r="H4" i="1"/>
  <c r="H70" i="1" s="1"/>
  <c r="C55" i="1"/>
  <c r="D55" i="1"/>
  <c r="E55" i="1"/>
  <c r="B55" i="1"/>
  <c r="C51" i="1"/>
  <c r="D51" i="1"/>
  <c r="E51" i="1"/>
  <c r="B51" i="1"/>
  <c r="B63" i="1" s="1"/>
  <c r="C38" i="1"/>
  <c r="C123" i="1" s="1"/>
  <c r="D38" i="1"/>
  <c r="D123" i="1" s="1"/>
  <c r="E38" i="1"/>
  <c r="E123" i="1" s="1"/>
  <c r="C45" i="1"/>
  <c r="D45" i="1"/>
  <c r="E45" i="1"/>
  <c r="B45" i="1"/>
  <c r="B38" i="1"/>
  <c r="C25" i="1"/>
  <c r="D25" i="1"/>
  <c r="E25" i="1"/>
  <c r="B25" i="1"/>
  <c r="C16" i="1"/>
  <c r="D16" i="1"/>
  <c r="E16" i="1"/>
  <c r="B16" i="1"/>
  <c r="C12" i="1"/>
  <c r="D12" i="1"/>
  <c r="E12" i="1"/>
  <c r="B12" i="1"/>
  <c r="C7" i="1"/>
  <c r="C4" i="1" s="1"/>
  <c r="C70" i="1" s="1"/>
  <c r="D7" i="1"/>
  <c r="D4" i="1" s="1"/>
  <c r="D70" i="1" s="1"/>
  <c r="E7" i="1"/>
  <c r="E4" i="1" s="1"/>
  <c r="E70" i="1" s="1"/>
  <c r="B7" i="1"/>
  <c r="B4" i="1" s="1"/>
  <c r="R11" i="1" l="1"/>
  <c r="R28" i="1" s="1"/>
  <c r="AA11" i="1"/>
  <c r="Y11" i="1"/>
  <c r="Y28" i="1" s="1"/>
  <c r="X11" i="1"/>
  <c r="Z63" i="1"/>
  <c r="X63" i="1"/>
  <c r="Z11" i="1"/>
  <c r="S63" i="1"/>
  <c r="R63" i="1"/>
  <c r="R67" i="1" s="1"/>
  <c r="R35" i="1" s="1"/>
  <c r="J63" i="1"/>
  <c r="J67" i="1" s="1"/>
  <c r="J35" i="1" s="1"/>
  <c r="H63" i="1"/>
  <c r="H67" i="1" s="1"/>
  <c r="H35" i="1" s="1"/>
  <c r="G63" i="1"/>
  <c r="G67" i="1" s="1"/>
  <c r="G35" i="1" s="1"/>
  <c r="B67" i="1"/>
  <c r="B35" i="1" s="1"/>
  <c r="B105" i="1"/>
  <c r="B111" i="1"/>
  <c r="E105" i="1"/>
  <c r="E112" i="1" s="1"/>
  <c r="E104" i="1"/>
  <c r="J105" i="1"/>
  <c r="J112" i="1" s="1"/>
  <c r="J104" i="1"/>
  <c r="M11" i="1"/>
  <c r="M28" i="1" s="1"/>
  <c r="N67" i="1"/>
  <c r="N35" i="1" s="1"/>
  <c r="N105" i="1"/>
  <c r="N112" i="1" s="1"/>
  <c r="N104" i="1"/>
  <c r="T11" i="1"/>
  <c r="T28" i="1" s="1"/>
  <c r="T121" i="1" s="1"/>
  <c r="T67" i="1"/>
  <c r="T35" i="1" s="1"/>
  <c r="T105" i="1"/>
  <c r="T112" i="1" s="1"/>
  <c r="T104" i="1"/>
  <c r="Y67" i="1"/>
  <c r="Y35" i="1" s="1"/>
  <c r="D104" i="1"/>
  <c r="D105" i="1"/>
  <c r="D112" i="1" s="1"/>
  <c r="G105" i="1"/>
  <c r="G112" i="1" s="1"/>
  <c r="G104" i="1"/>
  <c r="O67" i="1"/>
  <c r="O35" i="1" s="1"/>
  <c r="O105" i="1"/>
  <c r="O112" i="1" s="1"/>
  <c r="O104" i="1"/>
  <c r="U67" i="1"/>
  <c r="U35" i="1" s="1"/>
  <c r="U105" i="1"/>
  <c r="U112" i="1" s="1"/>
  <c r="U104" i="1"/>
  <c r="Z67" i="1"/>
  <c r="Z35" i="1" s="1"/>
  <c r="Z105" i="1"/>
  <c r="Z112" i="1" s="1"/>
  <c r="Z104" i="1"/>
  <c r="C104" i="1"/>
  <c r="C105" i="1"/>
  <c r="C112" i="1" s="1"/>
  <c r="H11" i="1"/>
  <c r="H28" i="1" s="1"/>
  <c r="H105" i="1"/>
  <c r="H112" i="1" s="1"/>
  <c r="H104" i="1"/>
  <c r="P67" i="1"/>
  <c r="P35" i="1" s="1"/>
  <c r="P105" i="1"/>
  <c r="P112" i="1" s="1"/>
  <c r="P104" i="1"/>
  <c r="R105" i="1"/>
  <c r="R112" i="1" s="1"/>
  <c r="R104" i="1"/>
  <c r="AA67" i="1"/>
  <c r="AA35" i="1" s="1"/>
  <c r="AA112" i="1"/>
  <c r="I67" i="1"/>
  <c r="I35" i="1" s="1"/>
  <c r="I105" i="1"/>
  <c r="I112" i="1" s="1"/>
  <c r="I104" i="1"/>
  <c r="M67" i="1"/>
  <c r="M35" i="1" s="1"/>
  <c r="M105" i="1"/>
  <c r="M112" i="1" s="1"/>
  <c r="M104" i="1"/>
  <c r="S67" i="1"/>
  <c r="S35" i="1" s="1"/>
  <c r="S105" i="1"/>
  <c r="S112" i="1" s="1"/>
  <c r="S104" i="1"/>
  <c r="X67" i="1"/>
  <c r="X35" i="1" s="1"/>
  <c r="X105" i="1"/>
  <c r="X112" i="1" s="1"/>
  <c r="X104" i="1"/>
  <c r="Y105" i="1"/>
  <c r="Y112" i="1" s="1"/>
  <c r="Y104" i="1"/>
  <c r="O70" i="1"/>
  <c r="O28" i="1"/>
  <c r="O121" i="1" s="1"/>
  <c r="X28" i="1"/>
  <c r="X70" i="1"/>
  <c r="E11" i="1"/>
  <c r="E28" i="1" s="1"/>
  <c r="E72" i="1"/>
  <c r="G11" i="1"/>
  <c r="G28" i="1" s="1"/>
  <c r="D11" i="1"/>
  <c r="D28" i="1" s="1"/>
  <c r="D72" i="1"/>
  <c r="P28" i="1"/>
  <c r="P70" i="1"/>
  <c r="U28" i="1"/>
  <c r="U70" i="1"/>
  <c r="Z28" i="1"/>
  <c r="Z70" i="1"/>
  <c r="M70" i="1"/>
  <c r="N11" i="1"/>
  <c r="N28" i="1" s="1"/>
  <c r="N121" i="1" s="1"/>
  <c r="N72" i="1"/>
  <c r="R70" i="1"/>
  <c r="S11" i="1"/>
  <c r="S28" i="1" s="1"/>
  <c r="S72" i="1"/>
  <c r="Y70" i="1"/>
  <c r="AA28" i="1"/>
  <c r="AA121" i="1" s="1"/>
  <c r="AA70" i="1"/>
  <c r="B11" i="1"/>
  <c r="B28" i="1" s="1"/>
  <c r="B72" i="1"/>
  <c r="C11" i="1"/>
  <c r="C28" i="1" s="1"/>
  <c r="C72" i="1"/>
  <c r="N70" i="1"/>
  <c r="G70" i="1"/>
  <c r="I11" i="1"/>
  <c r="I28" i="1" s="1"/>
  <c r="I72" i="1"/>
  <c r="T70" i="1"/>
  <c r="J28" i="1"/>
  <c r="E63" i="1"/>
  <c r="D63" i="1"/>
  <c r="C63" i="1"/>
  <c r="H121" i="1" l="1"/>
  <c r="J121" i="1"/>
  <c r="I71" i="1"/>
  <c r="I117" i="1"/>
  <c r="I120" i="1" s="1"/>
  <c r="I115" i="1"/>
  <c r="I116" i="1" s="1"/>
  <c r="I119" i="1" s="1"/>
  <c r="I121" i="1"/>
  <c r="E71" i="1"/>
  <c r="E75" i="1" s="1"/>
  <c r="E82" i="1" s="1"/>
  <c r="E83" i="1" s="1"/>
  <c r="E115" i="1"/>
  <c r="E116" i="1" s="1"/>
  <c r="E119" i="1" s="1"/>
  <c r="E117" i="1"/>
  <c r="E120" i="1" s="1"/>
  <c r="G71" i="1"/>
  <c r="G117" i="1"/>
  <c r="G120" i="1" s="1"/>
  <c r="G115" i="1"/>
  <c r="G116" i="1" s="1"/>
  <c r="G119" i="1" s="1"/>
  <c r="G121" i="1"/>
  <c r="M71" i="1"/>
  <c r="M117" i="1"/>
  <c r="M120" i="1" s="1"/>
  <c r="M115" i="1"/>
  <c r="M116" i="1" s="1"/>
  <c r="M119" i="1" s="1"/>
  <c r="M121" i="1"/>
  <c r="S71" i="1"/>
  <c r="S73" i="1" s="1"/>
  <c r="S117" i="1"/>
  <c r="S120" i="1" s="1"/>
  <c r="S115" i="1"/>
  <c r="S116" i="1" s="1"/>
  <c r="S119" i="1" s="1"/>
  <c r="R117" i="1"/>
  <c r="R120" i="1" s="1"/>
  <c r="R115" i="1"/>
  <c r="R116" i="1" s="1"/>
  <c r="R119" i="1" s="1"/>
  <c r="J31" i="1"/>
  <c r="J122" i="1" s="1"/>
  <c r="S111" i="1"/>
  <c r="S108" i="1"/>
  <c r="S109" i="1" s="1"/>
  <c r="I111" i="1"/>
  <c r="I108" i="1"/>
  <c r="I109" i="1" s="1"/>
  <c r="R111" i="1"/>
  <c r="R108" i="1"/>
  <c r="R109" i="1" s="1"/>
  <c r="H111" i="1"/>
  <c r="H108" i="1"/>
  <c r="H109" i="1" s="1"/>
  <c r="Z111" i="1"/>
  <c r="Z108" i="1"/>
  <c r="Z109" i="1" s="1"/>
  <c r="D71" i="1"/>
  <c r="D73" i="1" s="1"/>
  <c r="D115" i="1"/>
  <c r="D116" i="1" s="1"/>
  <c r="D119" i="1" s="1"/>
  <c r="D117" i="1"/>
  <c r="D120" i="1" s="1"/>
  <c r="J71" i="1"/>
  <c r="J117" i="1"/>
  <c r="J120" i="1" s="1"/>
  <c r="J115" i="1"/>
  <c r="J116" i="1" s="1"/>
  <c r="J119" i="1" s="1"/>
  <c r="Y111" i="1"/>
  <c r="Y108" i="1"/>
  <c r="Y109" i="1" s="1"/>
  <c r="D111" i="1"/>
  <c r="D108" i="1"/>
  <c r="D109" i="1" s="1"/>
  <c r="N111" i="1"/>
  <c r="N108" i="1"/>
  <c r="N109" i="1" s="1"/>
  <c r="B31" i="1"/>
  <c r="B122" i="1"/>
  <c r="E67" i="1"/>
  <c r="E35" i="1" s="1"/>
  <c r="E121" i="1"/>
  <c r="Y71" i="1"/>
  <c r="Y75" i="1" s="1"/>
  <c r="Y82" i="1" s="1"/>
  <c r="Y83" i="1" s="1"/>
  <c r="Y117" i="1"/>
  <c r="Y120" i="1" s="1"/>
  <c r="Y115" i="1"/>
  <c r="Y116" i="1" s="1"/>
  <c r="Y119" i="1" s="1"/>
  <c r="Z117" i="1"/>
  <c r="Z120" i="1" s="1"/>
  <c r="Z115" i="1"/>
  <c r="Z116" i="1" s="1"/>
  <c r="Z119" i="1" s="1"/>
  <c r="U117" i="1"/>
  <c r="U120" i="1" s="1"/>
  <c r="U115" i="1"/>
  <c r="U116" i="1" s="1"/>
  <c r="U119" i="1" s="1"/>
  <c r="P117" i="1"/>
  <c r="P120" i="1" s="1"/>
  <c r="P115" i="1"/>
  <c r="P116" i="1" s="1"/>
  <c r="P119" i="1" s="1"/>
  <c r="X71" i="1"/>
  <c r="X75" i="1" s="1"/>
  <c r="X82" i="1" s="1"/>
  <c r="X83" i="1" s="1"/>
  <c r="X117" i="1"/>
  <c r="X120" i="1" s="1"/>
  <c r="X115" i="1"/>
  <c r="X116" i="1" s="1"/>
  <c r="X119" i="1" s="1"/>
  <c r="X121" i="1"/>
  <c r="S121" i="1"/>
  <c r="R121" i="1"/>
  <c r="P121" i="1"/>
  <c r="C111" i="1"/>
  <c r="C108" i="1"/>
  <c r="C109" i="1" s="1"/>
  <c r="Z121" i="1"/>
  <c r="U121" i="1"/>
  <c r="Y121" i="1"/>
  <c r="J111" i="1"/>
  <c r="J108" i="1"/>
  <c r="J109" i="1" s="1"/>
  <c r="H71" i="1"/>
  <c r="H75" i="1" s="1"/>
  <c r="H82" i="1" s="1"/>
  <c r="H83" i="1" s="1"/>
  <c r="H117" i="1"/>
  <c r="H120" i="1" s="1"/>
  <c r="H115" i="1"/>
  <c r="H116" i="1" s="1"/>
  <c r="H119" i="1" s="1"/>
  <c r="T117" i="1"/>
  <c r="T120" i="1" s="1"/>
  <c r="T115" i="1"/>
  <c r="T116" i="1" s="1"/>
  <c r="T119" i="1" s="1"/>
  <c r="O71" i="1"/>
  <c r="O117" i="1"/>
  <c r="O120" i="1" s="1"/>
  <c r="O115" i="1"/>
  <c r="O116" i="1" s="1"/>
  <c r="O119" i="1" s="1"/>
  <c r="X31" i="1"/>
  <c r="X122" i="1" s="1"/>
  <c r="S31" i="1"/>
  <c r="S122" i="1" s="1"/>
  <c r="M31" i="1"/>
  <c r="M122" i="1" s="1"/>
  <c r="I31" i="1"/>
  <c r="I122" i="1" s="1"/>
  <c r="AA31" i="1"/>
  <c r="AA122" i="1" s="1"/>
  <c r="R31" i="1"/>
  <c r="R122" i="1" s="1"/>
  <c r="P31" i="1"/>
  <c r="P122" i="1" s="1"/>
  <c r="H31" i="1"/>
  <c r="H122" i="1" s="1"/>
  <c r="Z31" i="1"/>
  <c r="Z122" i="1" s="1"/>
  <c r="U31" i="1"/>
  <c r="U122" i="1" s="1"/>
  <c r="O31" i="1"/>
  <c r="O122" i="1" s="1"/>
  <c r="G31" i="1"/>
  <c r="G122" i="1" s="1"/>
  <c r="Y31" i="1"/>
  <c r="Y122" i="1" s="1"/>
  <c r="T31" i="1"/>
  <c r="T122" i="1" s="1"/>
  <c r="B108" i="1"/>
  <c r="B109" i="1" s="1"/>
  <c r="B112" i="1"/>
  <c r="B117" i="1"/>
  <c r="B120" i="1" s="1"/>
  <c r="B115" i="1"/>
  <c r="B116" i="1" s="1"/>
  <c r="B119" i="1" s="1"/>
  <c r="D67" i="1"/>
  <c r="D35" i="1" s="1"/>
  <c r="D121" i="1"/>
  <c r="X111" i="1"/>
  <c r="X108" i="1"/>
  <c r="X109" i="1" s="1"/>
  <c r="M111" i="1"/>
  <c r="M108" i="1"/>
  <c r="M109" i="1" s="1"/>
  <c r="P111" i="1"/>
  <c r="P108" i="1"/>
  <c r="P109" i="1" s="1"/>
  <c r="U111" i="1"/>
  <c r="U108" i="1"/>
  <c r="U109" i="1" s="1"/>
  <c r="O111" i="1"/>
  <c r="O108" i="1"/>
  <c r="O109" i="1" s="1"/>
  <c r="G111" i="1"/>
  <c r="G108" i="1"/>
  <c r="G109" i="1" s="1"/>
  <c r="T111" i="1"/>
  <c r="T108" i="1"/>
  <c r="T109" i="1" s="1"/>
  <c r="N31" i="1"/>
  <c r="N122" i="1" s="1"/>
  <c r="E111" i="1"/>
  <c r="E108" i="1"/>
  <c r="E109" i="1" s="1"/>
  <c r="B121" i="1"/>
  <c r="C67" i="1"/>
  <c r="C35" i="1" s="1"/>
  <c r="C121" i="1"/>
  <c r="N71" i="1"/>
  <c r="N73" i="1" s="1"/>
  <c r="N117" i="1"/>
  <c r="N120" i="1" s="1"/>
  <c r="N115" i="1"/>
  <c r="N116" i="1" s="1"/>
  <c r="N119" i="1" s="1"/>
  <c r="AA117" i="1"/>
  <c r="AA120" i="1" s="1"/>
  <c r="AA115" i="1"/>
  <c r="AA116" i="1" s="1"/>
  <c r="AA119" i="1" s="1"/>
  <c r="AA111" i="1"/>
  <c r="AA108" i="1"/>
  <c r="AA109" i="1" s="1"/>
  <c r="C71" i="1"/>
  <c r="C73" i="1" s="1"/>
  <c r="C115" i="1"/>
  <c r="C116" i="1" s="1"/>
  <c r="C119" i="1" s="1"/>
  <c r="C117" i="1"/>
  <c r="C120" i="1" s="1"/>
  <c r="H73" i="1"/>
  <c r="D75" i="1"/>
  <c r="D82" i="1" s="1"/>
  <c r="D83" i="1" s="1"/>
  <c r="U71" i="1"/>
  <c r="U75" i="1" s="1"/>
  <c r="U82" i="1" s="1"/>
  <c r="U83" i="1" s="1"/>
  <c r="T71" i="1"/>
  <c r="AA71" i="1"/>
  <c r="R71" i="1"/>
  <c r="Z71" i="1"/>
  <c r="P71" i="1"/>
  <c r="P75" i="1" s="1"/>
  <c r="P82" i="1" s="1"/>
  <c r="P83" i="1" s="1"/>
  <c r="G75" i="1"/>
  <c r="G82" i="1" s="1"/>
  <c r="G83" i="1" s="1"/>
  <c r="M75" i="1"/>
  <c r="M82" i="1" s="1"/>
  <c r="M83" i="1" s="1"/>
  <c r="O75" i="1"/>
  <c r="O82" i="1" s="1"/>
  <c r="O83" i="1" s="1"/>
  <c r="E73" i="1" l="1"/>
  <c r="C75" i="1"/>
  <c r="C82" i="1" s="1"/>
  <c r="C83" i="1" s="1"/>
  <c r="Y73" i="1"/>
  <c r="S75" i="1"/>
  <c r="S82" i="1" s="1"/>
  <c r="S83" i="1" s="1"/>
  <c r="B75" i="1"/>
  <c r="C31" i="1"/>
  <c r="C122" i="1"/>
  <c r="N48" i="1"/>
  <c r="N76" i="1"/>
  <c r="D31" i="1"/>
  <c r="D122" i="1" s="1"/>
  <c r="O73" i="1"/>
  <c r="B76" i="1"/>
  <c r="B48" i="1"/>
  <c r="J48" i="1"/>
  <c r="J76" i="1"/>
  <c r="N75" i="1"/>
  <c r="N82" i="1" s="1"/>
  <c r="N83" i="1" s="1"/>
  <c r="Y76" i="1"/>
  <c r="Y48" i="1"/>
  <c r="O48" i="1"/>
  <c r="O76" i="1"/>
  <c r="Z48" i="1"/>
  <c r="Z76" i="1"/>
  <c r="P48" i="1"/>
  <c r="P76" i="1"/>
  <c r="AA48" i="1"/>
  <c r="AA76" i="1"/>
  <c r="M76" i="1"/>
  <c r="M48" i="1"/>
  <c r="X76" i="1"/>
  <c r="X48" i="1"/>
  <c r="J75" i="1"/>
  <c r="J82" i="1" s="1"/>
  <c r="J83" i="1" s="1"/>
  <c r="J73" i="1"/>
  <c r="M73" i="1"/>
  <c r="G73" i="1"/>
  <c r="E31" i="1"/>
  <c r="E122" i="1" s="1"/>
  <c r="T76" i="1"/>
  <c r="T48" i="1"/>
  <c r="G76" i="1"/>
  <c r="G48" i="1"/>
  <c r="G78" i="1" s="1"/>
  <c r="U76" i="1"/>
  <c r="U48" i="1"/>
  <c r="H48" i="1"/>
  <c r="H76" i="1"/>
  <c r="R76" i="1"/>
  <c r="R48" i="1"/>
  <c r="I48" i="1"/>
  <c r="I76" i="1"/>
  <c r="S48" i="1"/>
  <c r="S76" i="1"/>
  <c r="X73" i="1"/>
  <c r="I75" i="1"/>
  <c r="I82" i="1" s="1"/>
  <c r="I83" i="1" s="1"/>
  <c r="I73" i="1"/>
  <c r="R75" i="1"/>
  <c r="R82" i="1" s="1"/>
  <c r="R83" i="1" s="1"/>
  <c r="R73" i="1"/>
  <c r="T75" i="1"/>
  <c r="T82" i="1" s="1"/>
  <c r="T83" i="1" s="1"/>
  <c r="T73" i="1"/>
  <c r="P73" i="1"/>
  <c r="AA75" i="1"/>
  <c r="AA82" i="1" s="1"/>
  <c r="AA83" i="1" s="1"/>
  <c r="AA73" i="1"/>
  <c r="U73" i="1"/>
  <c r="Z73" i="1"/>
  <c r="Z75" i="1"/>
  <c r="Z82" i="1" s="1"/>
  <c r="Z83" i="1" s="1"/>
  <c r="X78" i="1" l="1"/>
  <c r="X91" i="1" s="1"/>
  <c r="Y78" i="1"/>
  <c r="Y80" i="1" s="1"/>
  <c r="N78" i="1"/>
  <c r="N92" i="1" s="1"/>
  <c r="R78" i="1"/>
  <c r="R81" i="1" s="1"/>
  <c r="R86" i="1" s="1"/>
  <c r="R87" i="1" s="1"/>
  <c r="U78" i="1"/>
  <c r="U81" i="1" s="1"/>
  <c r="U86" i="1" s="1"/>
  <c r="T78" i="1"/>
  <c r="T81" i="1" s="1"/>
  <c r="T86" i="1" s="1"/>
  <c r="M78" i="1"/>
  <c r="M80" i="1" s="1"/>
  <c r="J78" i="1"/>
  <c r="J92" i="1" s="1"/>
  <c r="X90" i="1"/>
  <c r="X93" i="1"/>
  <c r="G81" i="1"/>
  <c r="G86" i="1" s="1"/>
  <c r="G80" i="1"/>
  <c r="G91" i="1"/>
  <c r="O89" i="1"/>
  <c r="O79" i="1"/>
  <c r="I78" i="1"/>
  <c r="I90" i="1" s="1"/>
  <c r="H78" i="1"/>
  <c r="H81" i="1" s="1"/>
  <c r="H86" i="1" s="1"/>
  <c r="G79" i="1"/>
  <c r="G89" i="1"/>
  <c r="M89" i="1"/>
  <c r="M79" i="1"/>
  <c r="P78" i="1"/>
  <c r="O78" i="1"/>
  <c r="O90" i="1" s="1"/>
  <c r="N89" i="1"/>
  <c r="N79" i="1"/>
  <c r="C48" i="1"/>
  <c r="C76" i="1"/>
  <c r="S89" i="1"/>
  <c r="S79" i="1"/>
  <c r="E48" i="1"/>
  <c r="E76" i="1"/>
  <c r="X92" i="1"/>
  <c r="AA79" i="1"/>
  <c r="AA89" i="1"/>
  <c r="Z89" i="1"/>
  <c r="Z79" i="1"/>
  <c r="S78" i="1"/>
  <c r="R89" i="1"/>
  <c r="R79" i="1"/>
  <c r="U79" i="1"/>
  <c r="U89" i="1"/>
  <c r="T89" i="1"/>
  <c r="T79" i="1"/>
  <c r="G93" i="1"/>
  <c r="G90" i="1"/>
  <c r="X81" i="1"/>
  <c r="X86" i="1" s="1"/>
  <c r="X89" i="1"/>
  <c r="X79" i="1"/>
  <c r="AA78" i="1"/>
  <c r="AA90" i="1" s="1"/>
  <c r="Z78" i="1"/>
  <c r="Z93" i="1" s="1"/>
  <c r="Y89" i="1"/>
  <c r="Y79" i="1"/>
  <c r="J89" i="1"/>
  <c r="J79" i="1"/>
  <c r="I89" i="1"/>
  <c r="I79" i="1"/>
  <c r="H89" i="1"/>
  <c r="H79" i="1"/>
  <c r="G92" i="1"/>
  <c r="J90" i="1"/>
  <c r="P89" i="1"/>
  <c r="P79" i="1"/>
  <c r="J91" i="1"/>
  <c r="D76" i="1"/>
  <c r="D48" i="1"/>
  <c r="X80" i="1" l="1"/>
  <c r="X88" i="1" s="1"/>
  <c r="N91" i="1"/>
  <c r="N93" i="1"/>
  <c r="N81" i="1"/>
  <c r="N86" i="1" s="1"/>
  <c r="N87" i="1" s="1"/>
  <c r="N90" i="1"/>
  <c r="Y91" i="1"/>
  <c r="Y81" i="1"/>
  <c r="Y86" i="1" s="1"/>
  <c r="Y87" i="1" s="1"/>
  <c r="Y93" i="1"/>
  <c r="C78" i="1"/>
  <c r="C90" i="1" s="1"/>
  <c r="Y90" i="1"/>
  <c r="Y92" i="1"/>
  <c r="J80" i="1"/>
  <c r="J124" i="1" s="1"/>
  <c r="J93" i="1"/>
  <c r="I93" i="1"/>
  <c r="N80" i="1"/>
  <c r="N88" i="1" s="1"/>
  <c r="U92" i="1"/>
  <c r="T93" i="1"/>
  <c r="T90" i="1"/>
  <c r="U90" i="1"/>
  <c r="U93" i="1"/>
  <c r="U84" i="1"/>
  <c r="U85" i="1" s="1"/>
  <c r="Z81" i="1"/>
  <c r="Z86" i="1" s="1"/>
  <c r="Z87" i="1" s="1"/>
  <c r="Z90" i="1"/>
  <c r="X84" i="1"/>
  <c r="X85" i="1" s="1"/>
  <c r="R80" i="1"/>
  <c r="R91" i="1"/>
  <c r="R92" i="1"/>
  <c r="R90" i="1"/>
  <c r="T92" i="1"/>
  <c r="T80" i="1"/>
  <c r="T91" i="1"/>
  <c r="R93" i="1"/>
  <c r="T84" i="1"/>
  <c r="T85" i="1" s="1"/>
  <c r="R84" i="1"/>
  <c r="R85" i="1" s="1"/>
  <c r="U80" i="1"/>
  <c r="U91" i="1"/>
  <c r="M93" i="1"/>
  <c r="M90" i="1"/>
  <c r="O93" i="1"/>
  <c r="O81" i="1"/>
  <c r="O86" i="1" s="1"/>
  <c r="O87" i="1" s="1"/>
  <c r="M92" i="1"/>
  <c r="M91" i="1"/>
  <c r="M81" i="1"/>
  <c r="M86" i="1" s="1"/>
  <c r="M87" i="1" s="1"/>
  <c r="I81" i="1"/>
  <c r="I86" i="1" s="1"/>
  <c r="I87" i="1" s="1"/>
  <c r="J81" i="1"/>
  <c r="J86" i="1" s="1"/>
  <c r="J87" i="1" s="1"/>
  <c r="G84" i="1"/>
  <c r="G85" i="1" s="1"/>
  <c r="AA80" i="1"/>
  <c r="AA91" i="1"/>
  <c r="AA92" i="1"/>
  <c r="AA81" i="1"/>
  <c r="AA86" i="1" s="1"/>
  <c r="C80" i="1"/>
  <c r="C92" i="1"/>
  <c r="C93" i="1"/>
  <c r="P80" i="1"/>
  <c r="P92" i="1"/>
  <c r="P91" i="1"/>
  <c r="M88" i="1"/>
  <c r="M124" i="1"/>
  <c r="P90" i="1"/>
  <c r="AA93" i="1"/>
  <c r="U87" i="1"/>
  <c r="P81" i="1"/>
  <c r="P86" i="1" s="1"/>
  <c r="H87" i="1"/>
  <c r="S91" i="1"/>
  <c r="S92" i="1"/>
  <c r="S93" i="1"/>
  <c r="S90" i="1"/>
  <c r="S81" i="1"/>
  <c r="S86" i="1" s="1"/>
  <c r="S80" i="1"/>
  <c r="B85" i="1"/>
  <c r="AA84" i="1"/>
  <c r="AA85" i="1" s="1"/>
  <c r="E89" i="1"/>
  <c r="E79" i="1"/>
  <c r="H80" i="1"/>
  <c r="H91" i="1"/>
  <c r="H92" i="1"/>
  <c r="H93" i="1"/>
  <c r="H90" i="1"/>
  <c r="P93" i="1"/>
  <c r="H84" i="1"/>
  <c r="H85" i="1" s="1"/>
  <c r="E78" i="1"/>
  <c r="I92" i="1"/>
  <c r="I80" i="1"/>
  <c r="I91" i="1"/>
  <c r="G88" i="1"/>
  <c r="G124" i="1"/>
  <c r="D78" i="1"/>
  <c r="D81" i="1" s="1"/>
  <c r="D86" i="1" s="1"/>
  <c r="Z80" i="1"/>
  <c r="Z92" i="1"/>
  <c r="Z91" i="1"/>
  <c r="X87" i="1"/>
  <c r="N124" i="1"/>
  <c r="Y88" i="1"/>
  <c r="Y124" i="1"/>
  <c r="X124" i="1"/>
  <c r="X125" i="1" s="1"/>
  <c r="C89" i="1"/>
  <c r="C79" i="1"/>
  <c r="C81" i="1"/>
  <c r="C86" i="1" s="1"/>
  <c r="O80" i="1"/>
  <c r="O91" i="1"/>
  <c r="O92" i="1"/>
  <c r="G87" i="1"/>
  <c r="T87" i="1"/>
  <c r="B87" i="1"/>
  <c r="D89" i="1"/>
  <c r="D79" i="1"/>
  <c r="N84" i="1" l="1"/>
  <c r="N85" i="1" s="1"/>
  <c r="Y84" i="1"/>
  <c r="Y85" i="1" s="1"/>
  <c r="C91" i="1"/>
  <c r="Y125" i="1"/>
  <c r="O84" i="1"/>
  <c r="O85" i="1" s="1"/>
  <c r="J88" i="1"/>
  <c r="D84" i="1"/>
  <c r="D85" i="1" s="1"/>
  <c r="C84" i="1"/>
  <c r="C85" i="1" s="1"/>
  <c r="I84" i="1"/>
  <c r="I85" i="1" s="1"/>
  <c r="Z84" i="1"/>
  <c r="Z85" i="1" s="1"/>
  <c r="M84" i="1"/>
  <c r="M85" i="1" s="1"/>
  <c r="S84" i="1"/>
  <c r="S85" i="1" s="1"/>
  <c r="U88" i="1"/>
  <c r="U124" i="1"/>
  <c r="U125" i="1" s="1"/>
  <c r="T88" i="1"/>
  <c r="T124" i="1"/>
  <c r="T125" i="1" s="1"/>
  <c r="R88" i="1"/>
  <c r="R124" i="1"/>
  <c r="R125" i="1" s="1"/>
  <c r="N125" i="1"/>
  <c r="P84" i="1"/>
  <c r="P85" i="1" s="1"/>
  <c r="M125" i="1"/>
  <c r="J125" i="1"/>
  <c r="G125" i="1"/>
  <c r="J84" i="1"/>
  <c r="J85" i="1" s="1"/>
  <c r="P88" i="1"/>
  <c r="P124" i="1"/>
  <c r="Z88" i="1"/>
  <c r="Z124" i="1"/>
  <c r="Z125" i="1" s="1"/>
  <c r="I88" i="1"/>
  <c r="I124" i="1"/>
  <c r="I125" i="1" s="1"/>
  <c r="E90" i="1"/>
  <c r="E80" i="1"/>
  <c r="E93" i="1"/>
  <c r="E91" i="1"/>
  <c r="E92" i="1"/>
  <c r="H88" i="1"/>
  <c r="H124" i="1"/>
  <c r="H125" i="1" s="1"/>
  <c r="C88" i="1"/>
  <c r="C124" i="1"/>
  <c r="AA88" i="1"/>
  <c r="AA124" i="1"/>
  <c r="O88" i="1"/>
  <c r="O124" i="1"/>
  <c r="O125" i="1" s="1"/>
  <c r="E81" i="1"/>
  <c r="E86" i="1" s="1"/>
  <c r="E87" i="1" s="1"/>
  <c r="S88" i="1"/>
  <c r="S124" i="1"/>
  <c r="AA87" i="1"/>
  <c r="D87" i="1"/>
  <c r="C87" i="1"/>
  <c r="D90" i="1"/>
  <c r="D92" i="1"/>
  <c r="D91" i="1"/>
  <c r="D80" i="1"/>
  <c r="D93" i="1"/>
  <c r="B124" i="1"/>
  <c r="S87" i="1"/>
  <c r="P87" i="1"/>
  <c r="C125" i="1" l="1"/>
  <c r="E84" i="1"/>
  <c r="E85" i="1" s="1"/>
  <c r="AA125" i="1"/>
  <c r="S125" i="1"/>
  <c r="P125" i="1"/>
  <c r="D88" i="1"/>
  <c r="D124" i="1"/>
  <c r="D125" i="1" s="1"/>
  <c r="E88" i="1"/>
  <c r="E124" i="1"/>
  <c r="E125" i="1" s="1"/>
</calcChain>
</file>

<file path=xl/sharedStrings.xml><?xml version="1.0" encoding="utf-8"?>
<sst xmlns="http://schemas.openxmlformats.org/spreadsheetml/2006/main" count="487" uniqueCount="176">
  <si>
    <t>Immobilizzazioni immateriali</t>
  </si>
  <si>
    <t>Immobilizzazioni materiali</t>
  </si>
  <si>
    <t>Altri ratei e risconti</t>
  </si>
  <si>
    <t>Capitale sociale</t>
  </si>
  <si>
    <t>Riserve</t>
  </si>
  <si>
    <t>Utile a nuovo</t>
  </si>
  <si>
    <t>Utile d'esercizio</t>
  </si>
  <si>
    <t>TFR</t>
  </si>
  <si>
    <t>TOTALE ATTIVO</t>
  </si>
  <si>
    <t>TOTALE PASSIVO</t>
  </si>
  <si>
    <t>Immobilizzazioni finanziarie:</t>
  </si>
  <si>
    <t>materie prime</t>
  </si>
  <si>
    <t>prodotti finiti</t>
  </si>
  <si>
    <t>Rimanenze:</t>
  </si>
  <si>
    <t>IMMOBILIZZAZIONI</t>
  </si>
  <si>
    <t>ATTIVO CIRCOLANTE</t>
  </si>
  <si>
    <t>Crediti:</t>
  </si>
  <si>
    <t>RATEI E RISCONTI</t>
  </si>
  <si>
    <t>PATRIMONIO NETTO</t>
  </si>
  <si>
    <t>DEBITI</t>
  </si>
  <si>
    <t>FONDI RISCHI ED ONERI</t>
  </si>
  <si>
    <t>VALORE PRODUZIONE</t>
  </si>
  <si>
    <t>variazione PF e SL</t>
  </si>
  <si>
    <t>COSTI PRODUZIONE</t>
  </si>
  <si>
    <t>ricavi</t>
  </si>
  <si>
    <t>acquisti MP</t>
  </si>
  <si>
    <t>servizi</t>
  </si>
  <si>
    <t>godimento beni terzi</t>
  </si>
  <si>
    <t>personale</t>
  </si>
  <si>
    <t>ammortamenti</t>
  </si>
  <si>
    <t>variazione MP</t>
  </si>
  <si>
    <t>VALORI - COSTI PRODUZIONE</t>
  </si>
  <si>
    <t>Proventi finanziari</t>
  </si>
  <si>
    <t>Oneri finanziari</t>
  </si>
  <si>
    <t>Imposte</t>
  </si>
  <si>
    <t>UTILE D'ESERCIZIO</t>
  </si>
  <si>
    <t>ATTIVO</t>
  </si>
  <si>
    <t>PASSIVO E NETTO</t>
  </si>
  <si>
    <t>CONTO ECONOMICO</t>
  </si>
  <si>
    <t>altri ricavi</t>
  </si>
  <si>
    <t>oneri diversi</t>
  </si>
  <si>
    <t>oltre 12 mesi</t>
  </si>
  <si>
    <r>
      <t xml:space="preserve">v/ clienti: </t>
    </r>
    <r>
      <rPr>
        <i/>
        <sz val="8"/>
        <color theme="1"/>
        <rFont val="Calibri"/>
        <family val="2"/>
        <scheme val="minor"/>
      </rPr>
      <t>entro 12 mesi</t>
    </r>
  </si>
  <si>
    <r>
      <t xml:space="preserve">v/ collegate: </t>
    </r>
    <r>
      <rPr>
        <i/>
        <sz val="8"/>
        <color theme="1"/>
        <rFont val="Calibri"/>
        <family val="2"/>
        <scheme val="minor"/>
      </rPr>
      <t>entro 12 mesi</t>
    </r>
  </si>
  <si>
    <r>
      <t xml:space="preserve">v/ altri: </t>
    </r>
    <r>
      <rPr>
        <i/>
        <sz val="8"/>
        <color theme="1"/>
        <rFont val="Calibri"/>
        <family val="2"/>
        <scheme val="minor"/>
      </rPr>
      <t>entro 12 mesi</t>
    </r>
  </si>
  <si>
    <t>Disponibilità liquide</t>
  </si>
  <si>
    <t>Disaggi su prestiti</t>
  </si>
  <si>
    <r>
      <t xml:space="preserve">v/ banche: </t>
    </r>
    <r>
      <rPr>
        <i/>
        <sz val="8"/>
        <color theme="1"/>
        <rFont val="Calibri"/>
        <family val="2"/>
        <scheme val="minor"/>
      </rPr>
      <t>entro 12 mesi</t>
    </r>
  </si>
  <si>
    <r>
      <t xml:space="preserve">v/ fornitori: </t>
    </r>
    <r>
      <rPr>
        <i/>
        <sz val="8"/>
        <color theme="1"/>
        <rFont val="Calibri"/>
        <family val="2"/>
        <scheme val="minor"/>
      </rPr>
      <t>entro 12 mesi</t>
    </r>
  </si>
  <si>
    <t>Aggi su prestiti</t>
  </si>
  <si>
    <t>Gestione atipica</t>
  </si>
  <si>
    <t>ROS</t>
  </si>
  <si>
    <t>ROI</t>
  </si>
  <si>
    <t>ROI'</t>
  </si>
  <si>
    <t>ROA</t>
  </si>
  <si>
    <t>ROD</t>
  </si>
  <si>
    <t>ROD'</t>
  </si>
  <si>
    <t>ROE</t>
  </si>
  <si>
    <t>WACC</t>
  </si>
  <si>
    <t>Rotazione debiti</t>
  </si>
  <si>
    <t>Rotazione crediti</t>
  </si>
  <si>
    <t>q</t>
  </si>
  <si>
    <t>CF</t>
  </si>
  <si>
    <t>mc</t>
  </si>
  <si>
    <t>p</t>
  </si>
  <si>
    <t>Calcolare:</t>
  </si>
  <si>
    <t>il punto di pareggio</t>
  </si>
  <si>
    <t>il margine di sicurezza</t>
  </si>
  <si>
    <t>il grado di leva operativa</t>
  </si>
  <si>
    <t>gli effetti sul reddito dell'aumento delle quantità del x%</t>
  </si>
  <si>
    <t>x%</t>
  </si>
  <si>
    <t>C</t>
  </si>
  <si>
    <t>R</t>
  </si>
  <si>
    <t>TF</t>
  </si>
  <si>
    <t>CI</t>
  </si>
  <si>
    <t>CT</t>
  </si>
  <si>
    <t>Calcolare il ROI</t>
  </si>
  <si>
    <t>Calcolare il ROE</t>
  </si>
  <si>
    <t>Stabilire se l'effetto leva è positivo</t>
  </si>
  <si>
    <t>RN</t>
  </si>
  <si>
    <t>CN</t>
  </si>
  <si>
    <t>sì (ROI &gt; ROD)</t>
  </si>
  <si>
    <t>qmax</t>
  </si>
  <si>
    <t>cv</t>
  </si>
  <si>
    <t>il fatturato di equilibrio</t>
  </si>
  <si>
    <t>la leva operativa che si ottiene con la vendita di q prodotti</t>
  </si>
  <si>
    <t>la capacità produttiva utilizzata in corrispondenza del BEP</t>
  </si>
  <si>
    <t>Un'impresa produce e vende q unità di prodotto, rilevando i seguenti dati di gestione: costi fissi = CF, margine di contribuzione = mc, prezzo = p.</t>
  </si>
  <si>
    <t>Un'azienda con una capacità produttiva in grado di ottenere al massimo qmax unità di prodotto sostiene costi di struttura annui per CF e costi di utilizzo della struttura pari a cv. Il prezzo di vendita è p.</t>
  </si>
  <si>
    <t>Si prevede che il prossimo anno un'azienda sosterrà costi di produzione per C e conseguirà ricavi di vendita pari a R. L'aliquota fiscale è al TF e il totale attivo è pari a CI. Un finanziatore offre un prestito di CT al ROD di interesse.</t>
  </si>
  <si>
    <t>Per l'azienda X sono noti: redditività operativa ROI, totale attivo CI, costo del debito ROD. Trascurando l'imposizione fiscale:</t>
  </si>
  <si>
    <t>calcolare il risultato operativo</t>
  </si>
  <si>
    <t>stabilire se il ROE cresce all'aumentare dell'indebitamento</t>
  </si>
  <si>
    <t xml:space="preserve">se l'indebitamento è CT/CN, calcolare gli oneri finanziari </t>
  </si>
  <si>
    <t>CT/CN</t>
  </si>
  <si>
    <t>Un'impresa produce e vende q unità di prodotto, rilevando i seguenti dati di gestione: costi di struttura = CF, margine di contribuzione unitario = mc, prezzo di vendita unitario = p.</t>
  </si>
  <si>
    <t>la quantità di equilibrio</t>
  </si>
  <si>
    <t>i ricavi di equilibrio</t>
  </si>
  <si>
    <t>calcolare il margine operativo netto</t>
  </si>
  <si>
    <t>stabilire se la redditività del capitale proprio cresce all'aumentare dell'indebitamento</t>
  </si>
  <si>
    <t>se il rapporto di indebitamento è pari a CT/CN, calcolare gli oneri finanziari</t>
  </si>
  <si>
    <t>Una società produce un bene il cui prezzo di mercato è p. La struttura dei costi è così composta: costi fissi per CF e costi variabili per cv. Sapendo che il volume di vendita effettivo del bene è pari a q,</t>
  </si>
  <si>
    <t>calcolare:</t>
  </si>
  <si>
    <t>la riduzione di fatturato tollerabile prima che l'azienda incorra in perdite</t>
  </si>
  <si>
    <t>Per l'azienda X sono noti: reddito operativo MON, capitale investito CI, onerosità del debito ROD. Trascurando l'imposizione fiscale:</t>
  </si>
  <si>
    <t>Per l'azienda X sono noti: redditività operativa ROI, capitale investito CI, onerosità del debito ROD. Trascurando l'imposizione fiscale:</t>
  </si>
  <si>
    <t>MON</t>
  </si>
  <si>
    <t>calcolare il ROI</t>
  </si>
  <si>
    <t>stabilire se l'effetto leva è positivo</t>
  </si>
  <si>
    <t>ROI*</t>
  </si>
  <si>
    <t>stabilire il grado di indebitamento massimo prima di incorrere in perdite se la reddività operativa scende a ROI*</t>
  </si>
  <si>
    <t>Una ludoteca eroga attività ricreative per bambini (capienza massima qmax bambini) e sostiene mensilmente i seguenti costi: collaboratori, attrezzature, utenze, fitto, organizzazione feste, furgoncino. Sapendo che la retta mensile è pari a p,</t>
  </si>
  <si>
    <t>collaboratori</t>
  </si>
  <si>
    <t>attrezzature</t>
  </si>
  <si>
    <t>utenze</t>
  </si>
  <si>
    <t>fitto</t>
  </si>
  <si>
    <t>organizzazione feste</t>
  </si>
  <si>
    <t>furgoncino</t>
  </si>
  <si>
    <t>il margine di contribuzione unitario</t>
  </si>
  <si>
    <t>gli effetti sul reddito della riduzione dei bambini iscritti del x%</t>
  </si>
  <si>
    <t>la leva operativa in condizioni di capienza massima</t>
  </si>
  <si>
    <t>Per l'azienda X sono noti: reddito operativo MON, totale attivo CI, costo medio del debito ROD.</t>
  </si>
  <si>
    <t>Stabilire l'effetto di leva finanziaria</t>
  </si>
  <si>
    <t>Se la redditività operativa scende al ROI*, stabilire il grado di indebitamento massimo prima di incorrere in una perdita</t>
  </si>
  <si>
    <t>positivo</t>
  </si>
  <si>
    <t>Attivo fisso</t>
  </si>
  <si>
    <t>Attivo corrente</t>
  </si>
  <si>
    <t>Rimanenze disponibili</t>
  </si>
  <si>
    <t>Liquidità differite</t>
  </si>
  <si>
    <t>Liquidità immediate</t>
  </si>
  <si>
    <t>Capitale investito</t>
  </si>
  <si>
    <t>Capitale proprio</t>
  </si>
  <si>
    <t>Passività consolidate</t>
  </si>
  <si>
    <t>Passività correnti</t>
  </si>
  <si>
    <t>Capitale permanente</t>
  </si>
  <si>
    <t>Capitale di terzi</t>
  </si>
  <si>
    <t>Capitale acqusito</t>
  </si>
  <si>
    <t>Indebitamento %</t>
  </si>
  <si>
    <t>Indipendenza</t>
  </si>
  <si>
    <t>Rigidità impieghi</t>
  </si>
  <si>
    <t>Elasticità impieghi</t>
  </si>
  <si>
    <t>Rigidità fonti</t>
  </si>
  <si>
    <t>Elasticità fonti</t>
  </si>
  <si>
    <t>Rapporto di indebitamento</t>
  </si>
  <si>
    <t>Margine di struttura</t>
  </si>
  <si>
    <t>Margine di tesoreria</t>
  </si>
  <si>
    <t>Cap. circolante netto</t>
  </si>
  <si>
    <t>Current ratio</t>
  </si>
  <si>
    <t>Quick ratio</t>
  </si>
  <si>
    <t>Valore aggiunto</t>
  </si>
  <si>
    <t>Margine operativo lordo</t>
  </si>
  <si>
    <t>Margine operativo netto</t>
  </si>
  <si>
    <t>MON + Atipica</t>
  </si>
  <si>
    <t>VA %</t>
  </si>
  <si>
    <t>MOL %</t>
  </si>
  <si>
    <t>MON %</t>
  </si>
  <si>
    <t>Atipica %</t>
  </si>
  <si>
    <t>Periodo giac. MP</t>
  </si>
  <si>
    <t>Periodo produzone</t>
  </si>
  <si>
    <t>Periodo giac. PF</t>
  </si>
  <si>
    <t>Periodo giac. debiti</t>
  </si>
  <si>
    <t>Periodo giac. crediti</t>
  </si>
  <si>
    <t>Ciclo economico</t>
  </si>
  <si>
    <t>Ciclo monetario</t>
  </si>
  <si>
    <t>Rotazione MP</t>
  </si>
  <si>
    <t>Rotazione SL</t>
  </si>
  <si>
    <t>Rotazione PF</t>
  </si>
  <si>
    <t>Cap. investito operativo</t>
  </si>
  <si>
    <t>IRCIO</t>
  </si>
  <si>
    <t>IRCI</t>
  </si>
  <si>
    <t>Attività fin. non immobilizzate</t>
  </si>
  <si>
    <t>prodotti in corso di lav.</t>
  </si>
  <si>
    <t>partecipazioni</t>
  </si>
  <si>
    <r>
      <t xml:space="preserve">crediti: </t>
    </r>
    <r>
      <rPr>
        <i/>
        <sz val="8"/>
        <color theme="1"/>
        <rFont val="Calibri"/>
        <family val="2"/>
        <scheme val="minor"/>
      </rPr>
      <t>entro 12 mesi</t>
    </r>
  </si>
  <si>
    <r>
      <t xml:space="preserve">CREDITI v/ SOCI: </t>
    </r>
    <r>
      <rPr>
        <sz val="8"/>
        <color theme="1"/>
        <rFont val="Calibri"/>
        <family val="2"/>
        <scheme val="minor"/>
      </rPr>
      <t>già richiamata</t>
    </r>
  </si>
  <si>
    <r>
      <rPr>
        <b/>
        <sz val="8"/>
        <color theme="1"/>
        <rFont val="Calibri"/>
        <family val="2"/>
        <scheme val="minor"/>
      </rPr>
      <t>CREDITI v/ SOCI</t>
    </r>
    <r>
      <rPr>
        <sz val="8"/>
        <color theme="1"/>
        <rFont val="Calibri"/>
        <family val="2"/>
        <scheme val="minor"/>
      </rPr>
      <t>: da richiamre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</si>
</sst>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5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8" xfId="0" applyFont="1" applyFill="1" applyBorder="1" applyAlignment="1">
      <alignment horizontal="left" vertical="center" indent="1"/>
    </xf>
    <xf numFmtId="0" fontId="1" fillId="0" borderId="8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left" vertical="center" indent="2"/>
    </xf>
    <xf numFmtId="0" fontId="4" fillId="0" borderId="8" xfId="0" applyFont="1" applyFill="1" applyBorder="1" applyAlignment="1">
      <alignment horizontal="left" vertical="center" indent="7"/>
    </xf>
    <xf numFmtId="0" fontId="1" fillId="0" borderId="7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left" vertical="center" indent="6"/>
    </xf>
    <xf numFmtId="0" fontId="4" fillId="0" borderId="8" xfId="0" applyFont="1" applyFill="1" applyBorder="1" applyAlignment="1">
      <alignment horizontal="left" vertical="center" indent="4"/>
    </xf>
    <xf numFmtId="0" fontId="1" fillId="0" borderId="3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9" fontId="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vertical="center"/>
    </xf>
    <xf numFmtId="0" fontId="4" fillId="0" borderId="7" xfId="0" applyFont="1" applyFill="1" applyBorder="1" applyAlignment="1">
      <alignment horizontal="left" vertical="center" indent="5"/>
    </xf>
    <xf numFmtId="0" fontId="2" fillId="0" borderId="1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3" fontId="1" fillId="0" borderId="12" xfId="0" applyNumberFormat="1" applyFont="1" applyFill="1" applyBorder="1" applyAlignment="1">
      <alignment horizontal="right" vertical="center"/>
    </xf>
    <xf numFmtId="3" fontId="1" fillId="0" borderId="14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3" fontId="2" fillId="0" borderId="11" xfId="0" applyNumberFormat="1" applyFont="1" applyFill="1" applyBorder="1" applyAlignment="1">
      <alignment horizontal="right" vertical="center"/>
    </xf>
    <xf numFmtId="3" fontId="1" fillId="0" borderId="13" xfId="0" applyNumberFormat="1" applyFont="1" applyFill="1" applyBorder="1" applyAlignment="1">
      <alignment horizontal="right" vertical="center"/>
    </xf>
    <xf numFmtId="3" fontId="1" fillId="0" borderId="15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3" fontId="3" fillId="0" borderId="13" xfId="0" applyNumberFormat="1" applyFont="1" applyFill="1" applyBorder="1" applyAlignment="1">
      <alignment horizontal="right" vertical="center"/>
    </xf>
    <xf numFmtId="3" fontId="1" fillId="0" borderId="8" xfId="0" applyNumberFormat="1" applyFont="1" applyFill="1" applyBorder="1" applyAlignment="1">
      <alignment horizontal="right" vertical="center"/>
    </xf>
    <xf numFmtId="3" fontId="3" fillId="0" borderId="15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Alignment="1">
      <alignment horizontal="right" vertical="center"/>
    </xf>
    <xf numFmtId="3" fontId="2" fillId="0" borderId="5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  <xf numFmtId="3" fontId="1" fillId="0" borderId="5" xfId="0" applyNumberFormat="1" applyFont="1" applyFill="1" applyBorder="1" applyAlignment="1">
      <alignment horizontal="right" vertical="center"/>
    </xf>
    <xf numFmtId="0" fontId="2" fillId="0" borderId="16" xfId="0" applyFont="1" applyFill="1" applyBorder="1" applyAlignment="1">
      <alignment horizontal="right" vertical="center"/>
    </xf>
    <xf numFmtId="3" fontId="1" fillId="0" borderId="6" xfId="0" applyNumberFormat="1" applyFont="1" applyFill="1" applyBorder="1" applyAlignment="1">
      <alignment horizontal="right" vertical="center"/>
    </xf>
    <xf numFmtId="3" fontId="1" fillId="0" borderId="7" xfId="0" applyNumberFormat="1" applyFont="1" applyFill="1" applyBorder="1" applyAlignment="1">
      <alignment horizontal="right" vertical="center"/>
    </xf>
    <xf numFmtId="164" fontId="1" fillId="0" borderId="6" xfId="0" applyNumberFormat="1" applyFont="1" applyFill="1" applyBorder="1" applyAlignment="1">
      <alignment horizontal="right" vertical="center"/>
    </xf>
    <xf numFmtId="164" fontId="1" fillId="0" borderId="8" xfId="0" applyNumberFormat="1" applyFont="1" applyFill="1" applyBorder="1" applyAlignment="1">
      <alignment horizontal="right" vertical="center"/>
    </xf>
    <xf numFmtId="164" fontId="1" fillId="0" borderId="7" xfId="0" applyNumberFormat="1" applyFont="1" applyFill="1" applyBorder="1" applyAlignment="1">
      <alignment horizontal="right" vertical="center"/>
    </xf>
    <xf numFmtId="2" fontId="1" fillId="0" borderId="7" xfId="0" applyNumberFormat="1" applyFont="1" applyFill="1" applyBorder="1" applyAlignment="1">
      <alignment horizontal="right" vertical="center"/>
    </xf>
    <xf numFmtId="2" fontId="1" fillId="0" borderId="6" xfId="0" applyNumberFormat="1" applyFont="1" applyFill="1" applyBorder="1" applyAlignment="1">
      <alignment horizontal="right" vertical="center"/>
    </xf>
    <xf numFmtId="1" fontId="1" fillId="0" borderId="6" xfId="0" applyNumberFormat="1" applyFont="1" applyFill="1" applyBorder="1" applyAlignment="1">
      <alignment horizontal="right" vertical="center"/>
    </xf>
    <xf numFmtId="1" fontId="1" fillId="0" borderId="8" xfId="0" applyNumberFormat="1" applyFont="1" applyFill="1" applyBorder="1" applyAlignment="1">
      <alignment horizontal="right" vertical="center"/>
    </xf>
    <xf numFmtId="2" fontId="1" fillId="0" borderId="8" xfId="0" applyNumberFormat="1" applyFont="1" applyFill="1" applyBorder="1" applyAlignment="1">
      <alignment horizontal="right" vertical="center"/>
    </xf>
    <xf numFmtId="0" fontId="2" fillId="0" borderId="17" xfId="0" applyFont="1" applyFill="1" applyBorder="1" applyAlignment="1">
      <alignment horizontal="right" vertical="center"/>
    </xf>
    <xf numFmtId="164" fontId="1" fillId="0" borderId="11" xfId="0" applyNumberFormat="1" applyFont="1" applyFill="1" applyBorder="1" applyAlignment="1">
      <alignment horizontal="right" vertical="center"/>
    </xf>
    <xf numFmtId="164" fontId="1" fillId="0" borderId="13" xfId="0" applyNumberFormat="1" applyFont="1" applyFill="1" applyBorder="1" applyAlignment="1">
      <alignment horizontal="right" vertical="center"/>
    </xf>
    <xf numFmtId="164" fontId="1" fillId="0" borderId="12" xfId="0" applyNumberFormat="1" applyFont="1" applyFill="1" applyBorder="1" applyAlignment="1">
      <alignment horizontal="right" vertical="center"/>
    </xf>
    <xf numFmtId="2" fontId="1" fillId="0" borderId="12" xfId="0" applyNumberFormat="1" applyFont="1" applyFill="1" applyBorder="1" applyAlignment="1">
      <alignment horizontal="right" vertical="center"/>
    </xf>
    <xf numFmtId="2" fontId="1" fillId="0" borderId="11" xfId="0" applyNumberFormat="1" applyFont="1" applyFill="1" applyBorder="1" applyAlignment="1">
      <alignment horizontal="right" vertical="center"/>
    </xf>
    <xf numFmtId="1" fontId="1" fillId="0" borderId="11" xfId="0" applyNumberFormat="1" applyFont="1" applyFill="1" applyBorder="1" applyAlignment="1">
      <alignment horizontal="right" vertical="center"/>
    </xf>
    <xf numFmtId="1" fontId="1" fillId="0" borderId="13" xfId="0" applyNumberFormat="1" applyFont="1" applyFill="1" applyBorder="1" applyAlignment="1">
      <alignment horizontal="right" vertical="center"/>
    </xf>
    <xf numFmtId="2" fontId="1" fillId="0" borderId="13" xfId="0" applyNumberFormat="1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right" vertical="center"/>
    </xf>
    <xf numFmtId="3" fontId="1" fillId="0" borderId="19" xfId="0" applyNumberFormat="1" applyFont="1" applyFill="1" applyBorder="1" applyAlignment="1">
      <alignment horizontal="right" vertical="center"/>
    </xf>
    <xf numFmtId="3" fontId="1" fillId="0" borderId="20" xfId="0" applyNumberFormat="1" applyFont="1" applyFill="1" applyBorder="1" applyAlignment="1">
      <alignment horizontal="right" vertical="center"/>
    </xf>
    <xf numFmtId="3" fontId="1" fillId="0" borderId="21" xfId="0" applyNumberFormat="1" applyFont="1" applyFill="1" applyBorder="1" applyAlignment="1">
      <alignment horizontal="right" vertical="center"/>
    </xf>
    <xf numFmtId="164" fontId="1" fillId="0" borderId="19" xfId="0" applyNumberFormat="1" applyFont="1" applyFill="1" applyBorder="1" applyAlignment="1">
      <alignment horizontal="right" vertical="center"/>
    </xf>
    <xf numFmtId="164" fontId="1" fillId="0" borderId="20" xfId="0" applyNumberFormat="1" applyFont="1" applyFill="1" applyBorder="1" applyAlignment="1">
      <alignment horizontal="right" vertical="center"/>
    </xf>
    <xf numFmtId="164" fontId="1" fillId="0" borderId="21" xfId="0" applyNumberFormat="1" applyFont="1" applyFill="1" applyBorder="1" applyAlignment="1">
      <alignment horizontal="right" vertical="center"/>
    </xf>
    <xf numFmtId="2" fontId="1" fillId="0" borderId="21" xfId="0" applyNumberFormat="1" applyFont="1" applyFill="1" applyBorder="1" applyAlignment="1">
      <alignment horizontal="right" vertical="center"/>
    </xf>
    <xf numFmtId="2" fontId="1" fillId="0" borderId="19" xfId="0" applyNumberFormat="1" applyFont="1" applyFill="1" applyBorder="1" applyAlignment="1">
      <alignment horizontal="right" vertical="center"/>
    </xf>
    <xf numFmtId="1" fontId="1" fillId="0" borderId="19" xfId="0" applyNumberFormat="1" applyFont="1" applyFill="1" applyBorder="1" applyAlignment="1">
      <alignment horizontal="right" vertical="center"/>
    </xf>
    <xf numFmtId="1" fontId="1" fillId="0" borderId="20" xfId="0" applyNumberFormat="1" applyFont="1" applyFill="1" applyBorder="1" applyAlignment="1">
      <alignment horizontal="right" vertical="center"/>
    </xf>
    <xf numFmtId="2" fontId="1" fillId="0" borderId="20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25"/>
  <sheetViews>
    <sheetView topLeftCell="A66" zoomScaleNormal="100" workbookViewId="0">
      <selection activeCell="B92" sqref="B92"/>
    </sheetView>
  </sheetViews>
  <sheetFormatPr defaultRowHeight="11.25" x14ac:dyDescent="0.25"/>
  <cols>
    <col min="1" max="1" width="21.85546875" style="1" bestFit="1" customWidth="1"/>
    <col min="2" max="5" width="7.85546875" style="37" bestFit="1" customWidth="1"/>
    <col min="6" max="6" width="5.7109375" style="37" bestFit="1" customWidth="1"/>
    <col min="7" max="7" width="7.85546875" style="37" bestFit="1" customWidth="1"/>
    <col min="8" max="10" width="9.7109375" style="37" bestFit="1" customWidth="1"/>
    <col min="11" max="11" width="5.85546875" style="37" bestFit="1" customWidth="1"/>
    <col min="12" max="12" width="21.85546875" style="1" bestFit="1" customWidth="1"/>
    <col min="13" max="16" width="9.7109375" style="37" bestFit="1" customWidth="1"/>
    <col min="17" max="17" width="5.85546875" style="37" bestFit="1" customWidth="1"/>
    <col min="18" max="20" width="7.85546875" style="37" customWidth="1"/>
    <col min="21" max="21" width="9.7109375" style="37" bestFit="1" customWidth="1"/>
    <col min="22" max="22" width="5.85546875" style="37" bestFit="1" customWidth="1"/>
    <col min="23" max="23" width="21.85546875" style="1" bestFit="1" customWidth="1"/>
    <col min="24" max="27" width="9.7109375" style="37" bestFit="1" customWidth="1"/>
    <col min="28" max="28" width="5.7109375" style="37" bestFit="1" customWidth="1"/>
    <col min="29" max="16384" width="9.140625" style="37"/>
  </cols>
  <sheetData>
    <row r="1" spans="1:30" s="32" customFormat="1" x14ac:dyDescent="0.25">
      <c r="A1" s="5" t="s">
        <v>36</v>
      </c>
      <c r="B1" s="30">
        <v>2013</v>
      </c>
      <c r="C1" s="30">
        <v>2012</v>
      </c>
      <c r="D1" s="30">
        <v>2011</v>
      </c>
      <c r="E1" s="31">
        <v>2010</v>
      </c>
      <c r="F1" s="30">
        <v>2009</v>
      </c>
      <c r="G1" s="30">
        <v>2013</v>
      </c>
      <c r="H1" s="30">
        <v>2012</v>
      </c>
      <c r="I1" s="30">
        <v>2011</v>
      </c>
      <c r="J1" s="31">
        <v>2010</v>
      </c>
      <c r="K1" s="30">
        <v>2009</v>
      </c>
      <c r="L1" s="5" t="s">
        <v>36</v>
      </c>
      <c r="M1" s="30">
        <v>2013</v>
      </c>
      <c r="N1" s="30">
        <v>2012</v>
      </c>
      <c r="O1" s="30">
        <v>2011</v>
      </c>
      <c r="P1" s="31">
        <v>2010</v>
      </c>
      <c r="Q1" s="30">
        <v>2009</v>
      </c>
      <c r="R1" s="30">
        <v>2013</v>
      </c>
      <c r="S1" s="30">
        <v>2012</v>
      </c>
      <c r="T1" s="30">
        <v>2011</v>
      </c>
      <c r="U1" s="31">
        <v>2010</v>
      </c>
      <c r="V1" s="30">
        <v>2009</v>
      </c>
      <c r="W1" s="5" t="s">
        <v>36</v>
      </c>
      <c r="X1" s="30">
        <v>2013</v>
      </c>
      <c r="Y1" s="30">
        <v>2012</v>
      </c>
      <c r="Z1" s="30">
        <v>2011</v>
      </c>
      <c r="AA1" s="31">
        <v>2010</v>
      </c>
      <c r="AB1" s="30">
        <v>2009</v>
      </c>
    </row>
    <row r="2" spans="1:30" s="32" customFormat="1" x14ac:dyDescent="0.25">
      <c r="A2" s="6" t="s">
        <v>174</v>
      </c>
      <c r="B2" s="33">
        <v>40000</v>
      </c>
      <c r="C2" s="33">
        <v>40000</v>
      </c>
      <c r="D2" s="33">
        <v>40000</v>
      </c>
      <c r="E2" s="33">
        <v>40000</v>
      </c>
      <c r="F2" s="34"/>
      <c r="G2" s="33">
        <v>40000</v>
      </c>
      <c r="H2" s="33">
        <v>40000</v>
      </c>
      <c r="I2" s="33">
        <v>40000</v>
      </c>
      <c r="J2" s="33">
        <v>40000</v>
      </c>
      <c r="K2" s="34"/>
      <c r="L2" s="6" t="s">
        <v>174</v>
      </c>
      <c r="M2" s="33">
        <v>40000</v>
      </c>
      <c r="N2" s="33">
        <v>40000</v>
      </c>
      <c r="O2" s="33">
        <v>40000</v>
      </c>
      <c r="P2" s="33">
        <v>40000</v>
      </c>
      <c r="Q2" s="34"/>
      <c r="R2" s="33">
        <v>40000</v>
      </c>
      <c r="S2" s="33">
        <v>40000</v>
      </c>
      <c r="T2" s="33">
        <v>40000</v>
      </c>
      <c r="U2" s="33">
        <v>40000</v>
      </c>
      <c r="V2" s="34"/>
      <c r="W2" s="6" t="s">
        <v>174</v>
      </c>
      <c r="X2" s="33">
        <v>40000</v>
      </c>
      <c r="Y2" s="33">
        <v>40000</v>
      </c>
      <c r="Z2" s="33">
        <v>40000</v>
      </c>
      <c r="AA2" s="33">
        <v>40000</v>
      </c>
    </row>
    <row r="3" spans="1:30" x14ac:dyDescent="0.25">
      <c r="A3" s="7" t="s">
        <v>175</v>
      </c>
      <c r="B3" s="35">
        <v>40000</v>
      </c>
      <c r="C3" s="36">
        <v>80000</v>
      </c>
      <c r="D3" s="36">
        <v>120000</v>
      </c>
      <c r="E3" s="36">
        <v>160000</v>
      </c>
      <c r="F3" s="34"/>
      <c r="G3" s="35">
        <v>40000</v>
      </c>
      <c r="H3" s="36">
        <v>80000</v>
      </c>
      <c r="I3" s="36">
        <v>120000</v>
      </c>
      <c r="J3" s="36">
        <v>160000</v>
      </c>
      <c r="K3" s="34"/>
      <c r="L3" s="7" t="s">
        <v>175</v>
      </c>
      <c r="M3" s="35">
        <v>40000</v>
      </c>
      <c r="N3" s="36">
        <v>80000</v>
      </c>
      <c r="O3" s="36">
        <v>120000</v>
      </c>
      <c r="P3" s="36">
        <v>160000</v>
      </c>
      <c r="Q3" s="34"/>
      <c r="R3" s="35">
        <v>40000</v>
      </c>
      <c r="S3" s="36">
        <v>80000</v>
      </c>
      <c r="T3" s="36">
        <v>120000</v>
      </c>
      <c r="U3" s="36">
        <v>160000</v>
      </c>
      <c r="V3" s="34"/>
      <c r="W3" s="7" t="s">
        <v>175</v>
      </c>
      <c r="X3" s="35">
        <v>40000</v>
      </c>
      <c r="Y3" s="36">
        <v>80000</v>
      </c>
      <c r="Z3" s="36">
        <v>120000</v>
      </c>
      <c r="AA3" s="36">
        <v>160000</v>
      </c>
    </row>
    <row r="4" spans="1:30" s="32" customFormat="1" x14ac:dyDescent="0.25">
      <c r="A4" s="8" t="s">
        <v>14</v>
      </c>
      <c r="B4" s="38">
        <f>SUM(B5:B7)</f>
        <v>470842</v>
      </c>
      <c r="C4" s="38">
        <f t="shared" ref="C4:E4" si="0">SUM(C5:C7)</f>
        <v>552378</v>
      </c>
      <c r="D4" s="38">
        <f t="shared" si="0"/>
        <v>634080</v>
      </c>
      <c r="E4" s="38">
        <f t="shared" si="0"/>
        <v>712709</v>
      </c>
      <c r="F4" s="34"/>
      <c r="G4" s="38">
        <f>SUM(G5:G7)</f>
        <v>487429</v>
      </c>
      <c r="H4" s="38">
        <f t="shared" ref="H4" si="1">SUM(H5:H7)</f>
        <v>631284</v>
      </c>
      <c r="I4" s="38">
        <f t="shared" ref="I4" si="2">SUM(I5:I7)</f>
        <v>671914</v>
      </c>
      <c r="J4" s="38">
        <f t="shared" ref="J4" si="3">SUM(J5:J7)</f>
        <v>763808</v>
      </c>
      <c r="K4" s="34"/>
      <c r="L4" s="8" t="s">
        <v>14</v>
      </c>
      <c r="M4" s="38">
        <f>SUM(M5:M7)</f>
        <v>470986</v>
      </c>
      <c r="N4" s="38">
        <f t="shared" ref="N4" si="4">SUM(N5:N7)</f>
        <v>611447</v>
      </c>
      <c r="O4" s="38">
        <f t="shared" ref="O4" si="5">SUM(O5:O7)</f>
        <v>652151</v>
      </c>
      <c r="P4" s="38">
        <f t="shared" ref="P4" si="6">SUM(P5:P7)</f>
        <v>742700</v>
      </c>
      <c r="Q4" s="34"/>
      <c r="R4" s="38">
        <f>SUM(R5:R7)</f>
        <v>492494</v>
      </c>
      <c r="S4" s="38">
        <f t="shared" ref="S4" si="7">SUM(S5:S7)</f>
        <v>641024</v>
      </c>
      <c r="T4" s="38">
        <f t="shared" ref="T4" si="8">SUM(T5:T7)</f>
        <v>685791</v>
      </c>
      <c r="U4" s="38">
        <f t="shared" ref="U4" si="9">SUM(U5:U7)</f>
        <v>783870</v>
      </c>
      <c r="V4" s="34"/>
      <c r="W4" s="8" t="s">
        <v>14</v>
      </c>
      <c r="X4" s="38">
        <f>SUM(X5:X7)</f>
        <v>390043</v>
      </c>
      <c r="Y4" s="38">
        <f t="shared" ref="Y4" si="10">SUM(Y5:Y7)</f>
        <v>458243</v>
      </c>
      <c r="Z4" s="38">
        <f t="shared" ref="Z4" si="11">SUM(Z5:Z7)</f>
        <v>526953</v>
      </c>
      <c r="AA4" s="38">
        <f t="shared" ref="AA4" si="12">SUM(AA5:AA7)</f>
        <v>593578</v>
      </c>
    </row>
    <row r="5" spans="1:30" x14ac:dyDescent="0.25">
      <c r="A5" s="9" t="s">
        <v>0</v>
      </c>
      <c r="B5" s="39">
        <v>141253</v>
      </c>
      <c r="C5" s="39">
        <v>176761</v>
      </c>
      <c r="D5" s="39">
        <v>215587</v>
      </c>
      <c r="E5" s="40">
        <v>256575</v>
      </c>
      <c r="F5" s="34"/>
      <c r="G5" s="39">
        <v>141354</v>
      </c>
      <c r="H5" s="39">
        <v>195698</v>
      </c>
      <c r="I5" s="39">
        <v>221731</v>
      </c>
      <c r="J5" s="40">
        <v>267333</v>
      </c>
      <c r="K5" s="34"/>
      <c r="L5" s="9" t="s">
        <v>0</v>
      </c>
      <c r="M5" s="39">
        <v>131876</v>
      </c>
      <c r="N5" s="39">
        <v>183434</v>
      </c>
      <c r="O5" s="39">
        <v>208688</v>
      </c>
      <c r="P5" s="40">
        <v>252518</v>
      </c>
      <c r="Q5" s="34"/>
      <c r="R5" s="39">
        <v>147748</v>
      </c>
      <c r="S5" s="39">
        <v>205128</v>
      </c>
      <c r="T5" s="39">
        <v>233169</v>
      </c>
      <c r="U5" s="40">
        <v>282193</v>
      </c>
      <c r="V5" s="34"/>
      <c r="W5" s="9" t="s">
        <v>0</v>
      </c>
      <c r="X5" s="39">
        <v>120913</v>
      </c>
      <c r="Y5" s="39">
        <v>151220</v>
      </c>
      <c r="Z5" s="39">
        <v>184433</v>
      </c>
      <c r="AA5" s="40">
        <v>219624</v>
      </c>
    </row>
    <row r="6" spans="1:30" x14ac:dyDescent="0.25">
      <c r="A6" s="9" t="s">
        <v>1</v>
      </c>
      <c r="B6" s="39">
        <v>207170</v>
      </c>
      <c r="C6" s="39">
        <v>237523</v>
      </c>
      <c r="D6" s="39">
        <v>266314</v>
      </c>
      <c r="E6" s="40">
        <v>292211</v>
      </c>
      <c r="F6" s="34"/>
      <c r="G6" s="39">
        <v>209594</v>
      </c>
      <c r="H6" s="39">
        <v>265139</v>
      </c>
      <c r="I6" s="39">
        <v>275484</v>
      </c>
      <c r="J6" s="40">
        <v>305523</v>
      </c>
      <c r="K6" s="34"/>
      <c r="L6" s="9" t="s">
        <v>1</v>
      </c>
      <c r="M6" s="39">
        <v>197814</v>
      </c>
      <c r="N6" s="39">
        <v>250693</v>
      </c>
      <c r="O6" s="39">
        <v>260860</v>
      </c>
      <c r="P6" s="40">
        <v>289653</v>
      </c>
      <c r="Q6" s="34"/>
      <c r="R6" s="39">
        <v>246247</v>
      </c>
      <c r="S6" s="39">
        <v>314102</v>
      </c>
      <c r="T6" s="39">
        <v>329180</v>
      </c>
      <c r="U6" s="40">
        <v>368419</v>
      </c>
      <c r="V6" s="34"/>
      <c r="W6" s="9" t="s">
        <v>1</v>
      </c>
      <c r="X6" s="39">
        <v>175520</v>
      </c>
      <c r="Y6" s="39">
        <v>201627</v>
      </c>
      <c r="Z6" s="39">
        <v>226590</v>
      </c>
      <c r="AA6" s="40">
        <v>249303</v>
      </c>
      <c r="AC6" s="41"/>
    </row>
    <row r="7" spans="1:30" x14ac:dyDescent="0.25">
      <c r="A7" s="9" t="s">
        <v>10</v>
      </c>
      <c r="B7" s="39">
        <f>SUM(B8:B10)</f>
        <v>122419</v>
      </c>
      <c r="C7" s="39">
        <f t="shared" ref="C7:E7" si="13">SUM(C8:C10)</f>
        <v>138094</v>
      </c>
      <c r="D7" s="39">
        <f t="shared" si="13"/>
        <v>152179</v>
      </c>
      <c r="E7" s="39">
        <f t="shared" si="13"/>
        <v>163923</v>
      </c>
      <c r="F7" s="34"/>
      <c r="G7" s="39">
        <f>SUM(G8:G10)</f>
        <v>136481</v>
      </c>
      <c r="H7" s="39">
        <f>SUM(H8:H10)</f>
        <v>170447</v>
      </c>
      <c r="I7" s="39">
        <f t="shared" ref="I7" si="14">SUM(I8:I10)</f>
        <v>174699</v>
      </c>
      <c r="J7" s="39">
        <f t="shared" ref="J7" si="15">SUM(J8:J10)</f>
        <v>190952</v>
      </c>
      <c r="K7" s="34"/>
      <c r="L7" s="9" t="s">
        <v>10</v>
      </c>
      <c r="M7" s="39">
        <f>SUM(M8:M10)</f>
        <v>141296</v>
      </c>
      <c r="N7" s="39">
        <f t="shared" ref="N7" si="16">SUM(N8:N10)</f>
        <v>177320</v>
      </c>
      <c r="O7" s="39">
        <f t="shared" ref="O7" si="17">SUM(O8:O10)</f>
        <v>182603</v>
      </c>
      <c r="P7" s="39">
        <f t="shared" ref="P7" si="18">SUM(P8:P10)</f>
        <v>200529</v>
      </c>
      <c r="Q7" s="34"/>
      <c r="R7" s="39">
        <f>SUM(R8:R10)</f>
        <v>98499</v>
      </c>
      <c r="S7" s="39">
        <f t="shared" ref="S7" si="19">SUM(S8:S10)</f>
        <v>121794</v>
      </c>
      <c r="T7" s="39">
        <f t="shared" ref="T7" si="20">SUM(T8:T10)</f>
        <v>123442</v>
      </c>
      <c r="U7" s="39">
        <f t="shared" ref="U7" si="21">SUM(U8:U10)</f>
        <v>133258</v>
      </c>
      <c r="V7" s="34"/>
      <c r="W7" s="9" t="s">
        <v>10</v>
      </c>
      <c r="X7" s="39">
        <f>SUM(X8:X10)</f>
        <v>93610</v>
      </c>
      <c r="Y7" s="39">
        <f t="shared" ref="Y7" si="22">SUM(Y8:Y10)</f>
        <v>105396</v>
      </c>
      <c r="Z7" s="39">
        <f t="shared" ref="Z7" si="23">SUM(Z8:Z10)</f>
        <v>115930</v>
      </c>
      <c r="AA7" s="39">
        <f t="shared" ref="AA7" si="24">SUM(AA8:AA10)</f>
        <v>124651</v>
      </c>
    </row>
    <row r="8" spans="1:30" x14ac:dyDescent="0.25">
      <c r="A8" s="2" t="s">
        <v>172</v>
      </c>
      <c r="B8" s="39">
        <v>50192</v>
      </c>
      <c r="C8" s="39">
        <v>58000</v>
      </c>
      <c r="D8" s="39">
        <v>65437</v>
      </c>
      <c r="E8" s="40">
        <v>72126</v>
      </c>
      <c r="F8" s="34"/>
      <c r="G8" s="39">
        <v>57322</v>
      </c>
      <c r="H8" s="39">
        <v>73292</v>
      </c>
      <c r="I8" s="39">
        <v>76867</v>
      </c>
      <c r="J8" s="40">
        <v>85928</v>
      </c>
      <c r="K8" s="34"/>
      <c r="L8" s="2" t="s">
        <v>172</v>
      </c>
      <c r="M8" s="39">
        <v>57931</v>
      </c>
      <c r="N8" s="39">
        <v>74474</v>
      </c>
      <c r="O8" s="39">
        <v>78519</v>
      </c>
      <c r="P8" s="40">
        <v>88233</v>
      </c>
      <c r="Q8" s="34"/>
      <c r="R8" s="39">
        <v>40384</v>
      </c>
      <c r="S8" s="39">
        <v>51154</v>
      </c>
      <c r="T8" s="39">
        <v>53080</v>
      </c>
      <c r="U8" s="40">
        <v>58633</v>
      </c>
      <c r="V8" s="34"/>
      <c r="W8" s="2" t="s">
        <v>172</v>
      </c>
      <c r="X8" s="39">
        <v>39316</v>
      </c>
      <c r="Y8" s="39">
        <v>45320</v>
      </c>
      <c r="Z8" s="39">
        <v>51009</v>
      </c>
      <c r="AA8" s="40">
        <v>56093</v>
      </c>
    </row>
    <row r="9" spans="1:30" x14ac:dyDescent="0.25">
      <c r="A9" s="2" t="s">
        <v>173</v>
      </c>
      <c r="B9" s="39">
        <v>35501</v>
      </c>
      <c r="C9" s="39">
        <v>40047</v>
      </c>
      <c r="D9" s="39">
        <v>44132</v>
      </c>
      <c r="E9" s="40">
        <v>47538</v>
      </c>
      <c r="F9" s="34"/>
      <c r="G9" s="39">
        <v>36850</v>
      </c>
      <c r="H9" s="39">
        <v>46021</v>
      </c>
      <c r="I9" s="39">
        <v>47168</v>
      </c>
      <c r="J9" s="40">
        <v>51557</v>
      </c>
      <c r="K9" s="34"/>
      <c r="L9" s="2" t="s">
        <v>173</v>
      </c>
      <c r="M9" s="39">
        <v>40976</v>
      </c>
      <c r="N9" s="39">
        <v>51423</v>
      </c>
      <c r="O9" s="39">
        <v>52955</v>
      </c>
      <c r="P9" s="40">
        <v>58153</v>
      </c>
      <c r="Q9" s="34"/>
      <c r="R9" s="39">
        <v>28565</v>
      </c>
      <c r="S9" s="39">
        <v>35320</v>
      </c>
      <c r="T9" s="39">
        <v>35798</v>
      </c>
      <c r="U9" s="40">
        <v>38645</v>
      </c>
      <c r="V9" s="34"/>
      <c r="W9" s="2" t="s">
        <v>173</v>
      </c>
      <c r="X9" s="39">
        <v>25275</v>
      </c>
      <c r="Y9" s="39">
        <v>28457</v>
      </c>
      <c r="Z9" s="39">
        <v>31301</v>
      </c>
      <c r="AA9" s="40">
        <v>33656</v>
      </c>
    </row>
    <row r="10" spans="1:30" x14ac:dyDescent="0.25">
      <c r="A10" s="29" t="s">
        <v>41</v>
      </c>
      <c r="B10" s="35">
        <v>36726</v>
      </c>
      <c r="C10" s="35">
        <v>40047</v>
      </c>
      <c r="D10" s="35">
        <v>42610</v>
      </c>
      <c r="E10" s="36">
        <v>44259</v>
      </c>
      <c r="F10" s="34"/>
      <c r="G10" s="35">
        <v>42309</v>
      </c>
      <c r="H10" s="35">
        <v>51134</v>
      </c>
      <c r="I10" s="35">
        <v>50664</v>
      </c>
      <c r="J10" s="36">
        <v>53467</v>
      </c>
      <c r="K10" s="34"/>
      <c r="L10" s="29" t="s">
        <v>41</v>
      </c>
      <c r="M10" s="35">
        <v>42389</v>
      </c>
      <c r="N10" s="35">
        <v>51423</v>
      </c>
      <c r="O10" s="35">
        <v>51129</v>
      </c>
      <c r="P10" s="36">
        <v>54143</v>
      </c>
      <c r="Q10" s="34"/>
      <c r="R10" s="35">
        <v>29550</v>
      </c>
      <c r="S10" s="35">
        <v>35320</v>
      </c>
      <c r="T10" s="35">
        <v>34564</v>
      </c>
      <c r="U10" s="36">
        <v>35980</v>
      </c>
      <c r="V10" s="34"/>
      <c r="W10" s="29" t="s">
        <v>41</v>
      </c>
      <c r="X10" s="35">
        <v>29019</v>
      </c>
      <c r="Y10" s="35">
        <v>31619</v>
      </c>
      <c r="Z10" s="35">
        <v>33620</v>
      </c>
      <c r="AA10" s="36">
        <v>34902</v>
      </c>
      <c r="AD10" s="41"/>
    </row>
    <row r="11" spans="1:30" s="32" customFormat="1" x14ac:dyDescent="0.25">
      <c r="A11" s="6" t="s">
        <v>15</v>
      </c>
      <c r="B11" s="38">
        <f>SUM(B12,B16,B23:B24)</f>
        <v>759422</v>
      </c>
      <c r="C11" s="38">
        <f t="shared" ref="C11:E11" si="25">SUM(C12,C16,C23:C24)</f>
        <v>820198</v>
      </c>
      <c r="D11" s="38">
        <f t="shared" si="25"/>
        <v>869598</v>
      </c>
      <c r="E11" s="38">
        <f t="shared" si="25"/>
        <v>905333</v>
      </c>
      <c r="F11" s="34"/>
      <c r="G11" s="38">
        <f>SUM(G12,G16,G23:G24)</f>
        <v>1044491</v>
      </c>
      <c r="H11" s="38">
        <f t="shared" ref="H11" si="26">SUM(H12,H16,H23:H24)</f>
        <v>1241526</v>
      </c>
      <c r="I11" s="38">
        <f t="shared" ref="I11" si="27">SUM(I12,I16,I23:I24)</f>
        <v>1217842</v>
      </c>
      <c r="J11" s="38">
        <f t="shared" ref="J11" si="28">SUM(J12,J16,J23:J24)</f>
        <v>1280504</v>
      </c>
      <c r="K11" s="34"/>
      <c r="L11" s="6" t="s">
        <v>15</v>
      </c>
      <c r="M11" s="38">
        <f>SUM(M12,M16,M23:M24)</f>
        <v>1029190</v>
      </c>
      <c r="N11" s="38">
        <f t="shared" ref="N11" si="29">SUM(N12,N16,N23:N24)</f>
        <v>1222890</v>
      </c>
      <c r="O11" s="38">
        <f t="shared" ref="O11" si="30">SUM(O12,O16,O23:O24)</f>
        <v>1199115</v>
      </c>
      <c r="P11" s="38">
        <f t="shared" ref="P11" si="31">SUM(P12,P16,P23:P24)</f>
        <v>1260339</v>
      </c>
      <c r="Q11" s="34"/>
      <c r="R11" s="38">
        <f>SUM(R12,R16,R23:R24)</f>
        <v>1021466</v>
      </c>
      <c r="S11" s="38">
        <f t="shared" ref="S11" si="32">SUM(S12,S16,S23:S24)</f>
        <v>1215735</v>
      </c>
      <c r="T11" s="38">
        <f t="shared" ref="T11" si="33">SUM(T12,T16,T23:T24)</f>
        <v>1194606</v>
      </c>
      <c r="U11" s="38">
        <f t="shared" ref="U11" si="34">SUM(U12,U16,U23:U24)</f>
        <v>1258941</v>
      </c>
      <c r="V11" s="34"/>
      <c r="W11" s="6" t="s">
        <v>15</v>
      </c>
      <c r="X11" s="38">
        <f>SUM(X12,X16,X23:X24)</f>
        <v>621632</v>
      </c>
      <c r="Y11" s="38">
        <f t="shared" ref="Y11" si="35">SUM(Y12,Y16,Y23:Y24)</f>
        <v>673888</v>
      </c>
      <c r="Z11" s="38">
        <f t="shared" ref="Z11" si="36">SUM(Z12,Z16,Z23:Z24)</f>
        <v>717241</v>
      </c>
      <c r="AA11" s="38">
        <f t="shared" ref="AA11" si="37">SUM(AA12,AA16,AA23:AA24)</f>
        <v>749785</v>
      </c>
    </row>
    <row r="12" spans="1:30" x14ac:dyDescent="0.25">
      <c r="A12" s="3" t="s">
        <v>13</v>
      </c>
      <c r="B12" s="39">
        <f>SUM(B13:B15)</f>
        <v>477726</v>
      </c>
      <c r="C12" s="39">
        <f t="shared" ref="C12:E12" si="38">SUM(C13:C15)</f>
        <v>409517</v>
      </c>
      <c r="D12" s="39">
        <f t="shared" si="38"/>
        <v>321247</v>
      </c>
      <c r="E12" s="39">
        <f t="shared" si="38"/>
        <v>210507</v>
      </c>
      <c r="F12" s="34"/>
      <c r="G12" s="39">
        <f>SUM(G13:G15)</f>
        <v>503004</v>
      </c>
      <c r="H12" s="39">
        <f t="shared" ref="H12" si="39">SUM(H13:H15)</f>
        <v>430342</v>
      </c>
      <c r="I12" s="39">
        <f t="shared" ref="I12" si="40">SUM(I13:I15)</f>
        <v>328615</v>
      </c>
      <c r="J12" s="39">
        <f t="shared" ref="J12" si="41">SUM(J13:J15)</f>
        <v>212356</v>
      </c>
      <c r="K12" s="34"/>
      <c r="L12" s="3" t="s">
        <v>13</v>
      </c>
      <c r="M12" s="39">
        <f>SUM(M13:M15)</f>
        <v>503004</v>
      </c>
      <c r="N12" s="39">
        <f t="shared" ref="N12" si="42">SUM(N13:N15)</f>
        <v>430342</v>
      </c>
      <c r="O12" s="39">
        <f t="shared" ref="O12" si="43">SUM(O13:O15)</f>
        <v>328615</v>
      </c>
      <c r="P12" s="39">
        <f t="shared" ref="P12" si="44">SUM(P13:P15)</f>
        <v>212356</v>
      </c>
      <c r="Q12" s="34"/>
      <c r="R12" s="39">
        <f>SUM(R13:R15)</f>
        <v>483922</v>
      </c>
      <c r="S12" s="39">
        <f t="shared" ref="S12" si="45">SUM(S13:S15)</f>
        <v>414963</v>
      </c>
      <c r="T12" s="39">
        <f t="shared" ref="T12" si="46">SUM(T13:T15)</f>
        <v>317610</v>
      </c>
      <c r="U12" s="39">
        <f t="shared" ref="U12" si="47">SUM(U13:U15)</f>
        <v>205654</v>
      </c>
      <c r="V12" s="34"/>
      <c r="W12" s="3" t="s">
        <v>13</v>
      </c>
      <c r="X12" s="39">
        <f>SUM(X13:X15)</f>
        <v>507408</v>
      </c>
      <c r="Y12" s="39">
        <f t="shared" ref="Y12" si="48">SUM(Y13:Y15)</f>
        <v>432069</v>
      </c>
      <c r="Z12" s="39">
        <f t="shared" ref="Z12" si="49">SUM(Z13:Z15)</f>
        <v>336111</v>
      </c>
      <c r="AA12" s="39">
        <f t="shared" ref="AA12" si="50">SUM(AA13:AA15)</f>
        <v>217154</v>
      </c>
    </row>
    <row r="13" spans="1:30" x14ac:dyDescent="0.25">
      <c r="A13" s="10" t="s">
        <v>11</v>
      </c>
      <c r="B13" s="42">
        <v>100457</v>
      </c>
      <c r="C13" s="42">
        <v>88420</v>
      </c>
      <c r="D13" s="42">
        <v>70766</v>
      </c>
      <c r="E13" s="42">
        <v>46692</v>
      </c>
      <c r="F13" s="33">
        <v>15369</v>
      </c>
      <c r="G13" s="42">
        <v>141499</v>
      </c>
      <c r="H13" s="42">
        <v>121315</v>
      </c>
      <c r="I13" s="42">
        <v>92250</v>
      </c>
      <c r="J13" s="42">
        <v>58342</v>
      </c>
      <c r="K13" s="33">
        <v>16359</v>
      </c>
      <c r="L13" s="10" t="s">
        <v>11</v>
      </c>
      <c r="M13" s="42">
        <v>141499</v>
      </c>
      <c r="N13" s="42">
        <v>121315</v>
      </c>
      <c r="O13" s="42">
        <v>92250</v>
      </c>
      <c r="P13" s="42">
        <v>58342</v>
      </c>
      <c r="Q13" s="33">
        <v>16359</v>
      </c>
      <c r="R13" s="42">
        <v>122812</v>
      </c>
      <c r="S13" s="42">
        <v>106586</v>
      </c>
      <c r="T13" s="42">
        <v>82248</v>
      </c>
      <c r="U13" s="42">
        <v>53042</v>
      </c>
      <c r="V13" s="33">
        <v>16129</v>
      </c>
      <c r="W13" s="10" t="s">
        <v>11</v>
      </c>
      <c r="X13" s="42">
        <v>117628</v>
      </c>
      <c r="Y13" s="42">
        <v>101768</v>
      </c>
      <c r="Z13" s="42">
        <v>79959</v>
      </c>
      <c r="AA13" s="42">
        <v>51409</v>
      </c>
      <c r="AB13" s="33">
        <v>15326</v>
      </c>
      <c r="AC13" s="41"/>
    </row>
    <row r="14" spans="1:30" x14ac:dyDescent="0.25">
      <c r="A14" s="10" t="s">
        <v>171</v>
      </c>
      <c r="B14" s="42">
        <v>129294</v>
      </c>
      <c r="C14" s="42">
        <v>110570</v>
      </c>
      <c r="D14" s="42">
        <v>87031</v>
      </c>
      <c r="E14" s="44">
        <v>58142</v>
      </c>
      <c r="F14" s="39">
        <v>23369</v>
      </c>
      <c r="G14" s="42">
        <v>127761</v>
      </c>
      <c r="H14" s="42">
        <v>110268</v>
      </c>
      <c r="I14" s="42">
        <v>86047</v>
      </c>
      <c r="J14" s="44">
        <v>58597</v>
      </c>
      <c r="K14" s="39">
        <v>25361</v>
      </c>
      <c r="L14" s="10" t="s">
        <v>171</v>
      </c>
      <c r="M14" s="42">
        <v>127761</v>
      </c>
      <c r="N14" s="42">
        <v>110268</v>
      </c>
      <c r="O14" s="42">
        <v>86047</v>
      </c>
      <c r="P14" s="44">
        <v>58597</v>
      </c>
      <c r="Q14" s="39">
        <v>25361</v>
      </c>
      <c r="R14" s="42">
        <v>127860</v>
      </c>
      <c r="S14" s="42">
        <v>110282</v>
      </c>
      <c r="T14" s="42">
        <v>85944</v>
      </c>
      <c r="U14" s="44">
        <v>58361</v>
      </c>
      <c r="V14" s="39">
        <v>24963</v>
      </c>
      <c r="W14" s="10" t="s">
        <v>171</v>
      </c>
      <c r="X14" s="42">
        <v>133131</v>
      </c>
      <c r="Y14" s="42">
        <v>113304</v>
      </c>
      <c r="Z14" s="42">
        <v>88588</v>
      </c>
      <c r="AA14" s="44">
        <v>58452</v>
      </c>
      <c r="AB14" s="39">
        <v>22369</v>
      </c>
      <c r="AC14" s="41"/>
    </row>
    <row r="15" spans="1:30" x14ac:dyDescent="0.25">
      <c r="A15" s="10" t="s">
        <v>12</v>
      </c>
      <c r="B15" s="42">
        <v>247975</v>
      </c>
      <c r="C15" s="42">
        <v>210527</v>
      </c>
      <c r="D15" s="42">
        <v>163450</v>
      </c>
      <c r="E15" s="44">
        <v>105673</v>
      </c>
      <c r="F15" s="35">
        <v>36126</v>
      </c>
      <c r="G15" s="42">
        <v>233744</v>
      </c>
      <c r="H15" s="42">
        <v>198759</v>
      </c>
      <c r="I15" s="42">
        <v>150318</v>
      </c>
      <c r="J15" s="44">
        <v>95417</v>
      </c>
      <c r="K15" s="35">
        <v>28945</v>
      </c>
      <c r="L15" s="10" t="s">
        <v>12</v>
      </c>
      <c r="M15" s="42">
        <v>233744</v>
      </c>
      <c r="N15" s="42">
        <v>198759</v>
      </c>
      <c r="O15" s="42">
        <v>150318</v>
      </c>
      <c r="P15" s="44">
        <v>95417</v>
      </c>
      <c r="Q15" s="35">
        <v>28945</v>
      </c>
      <c r="R15" s="42">
        <v>233250</v>
      </c>
      <c r="S15" s="42">
        <v>198095</v>
      </c>
      <c r="T15" s="42">
        <v>149418</v>
      </c>
      <c r="U15" s="44">
        <v>94251</v>
      </c>
      <c r="V15" s="35">
        <v>27456</v>
      </c>
      <c r="W15" s="10" t="s">
        <v>12</v>
      </c>
      <c r="X15" s="42">
        <v>256649</v>
      </c>
      <c r="Y15" s="42">
        <v>216997</v>
      </c>
      <c r="Z15" s="42">
        <v>167564</v>
      </c>
      <c r="AA15" s="44">
        <v>107293</v>
      </c>
      <c r="AB15" s="35">
        <v>35126</v>
      </c>
      <c r="AC15" s="41"/>
    </row>
    <row r="16" spans="1:30" x14ac:dyDescent="0.25">
      <c r="A16" s="3" t="s">
        <v>16</v>
      </c>
      <c r="B16" s="39">
        <f>SUM(B17:B22)</f>
        <v>151884</v>
      </c>
      <c r="C16" s="39">
        <f t="shared" ref="C16:E16" si="51">SUM(C17:C22)</f>
        <v>172241</v>
      </c>
      <c r="D16" s="39">
        <f t="shared" si="51"/>
        <v>191312</v>
      </c>
      <c r="E16" s="39">
        <f t="shared" si="51"/>
        <v>208227</v>
      </c>
      <c r="F16" s="34"/>
      <c r="G16" s="39">
        <f>SUM(G17:G22)</f>
        <v>313348</v>
      </c>
      <c r="H16" s="39">
        <f t="shared" ref="H16" si="52">SUM(H17:H22)</f>
        <v>384873</v>
      </c>
      <c r="I16" s="39">
        <f t="shared" ref="I16" si="53">SUM(I17:I22)</f>
        <v>389710</v>
      </c>
      <c r="J16" s="39">
        <f t="shared" ref="J16" si="54">SUM(J17:J22)</f>
        <v>422567</v>
      </c>
      <c r="K16" s="34"/>
      <c r="L16" s="3" t="s">
        <v>16</v>
      </c>
      <c r="M16" s="39">
        <f>SUM(M17:M22)</f>
        <v>298466</v>
      </c>
      <c r="N16" s="39">
        <f t="shared" ref="N16" si="55">SUM(N17:N22)</f>
        <v>366867</v>
      </c>
      <c r="O16" s="39">
        <f t="shared" ref="O16" si="56">SUM(O17:O22)</f>
        <v>371726</v>
      </c>
      <c r="P16" s="39">
        <f t="shared" ref="P16" si="57">SUM(P17:P22)</f>
        <v>403309</v>
      </c>
      <c r="Q16" s="34"/>
      <c r="R16" s="39">
        <f>SUM(R17:R22)</f>
        <v>408586</v>
      </c>
      <c r="S16" s="39">
        <f t="shared" ref="S16" si="58">SUM(S17:S22)</f>
        <v>498452</v>
      </c>
      <c r="T16" s="39">
        <f t="shared" ref="T16" si="59">SUM(T17:T22)</f>
        <v>501735</v>
      </c>
      <c r="U16" s="39">
        <f t="shared" ref="U16" si="60">SUM(U17:U22)</f>
        <v>541345</v>
      </c>
      <c r="V16" s="34"/>
      <c r="W16" s="3" t="s">
        <v>16</v>
      </c>
      <c r="X16" s="39">
        <f>SUM(X17:X22)</f>
        <v>92257.655882443927</v>
      </c>
      <c r="Y16" s="39">
        <f t="shared" ref="Y16" si="61">SUM(Y17:Y22)</f>
        <v>148256</v>
      </c>
      <c r="Z16" s="39">
        <f t="shared" ref="Z16" si="62">SUM(Z17:Z22)</f>
        <v>164966</v>
      </c>
      <c r="AA16" s="39">
        <f t="shared" ref="AA16" si="63">SUM(AA17:AA22)</f>
        <v>179947</v>
      </c>
    </row>
    <row r="17" spans="1:35" x14ac:dyDescent="0.25">
      <c r="A17" s="10" t="s">
        <v>42</v>
      </c>
      <c r="B17" s="39">
        <v>36452</v>
      </c>
      <c r="C17" s="39">
        <v>37893</v>
      </c>
      <c r="D17" s="39">
        <v>38262</v>
      </c>
      <c r="E17" s="40">
        <v>37481</v>
      </c>
      <c r="F17" s="34"/>
      <c r="G17" s="39">
        <v>72070</v>
      </c>
      <c r="H17" s="39">
        <v>80823</v>
      </c>
      <c r="I17" s="39">
        <v>74045</v>
      </c>
      <c r="J17" s="40">
        <v>71836</v>
      </c>
      <c r="K17" s="34"/>
      <c r="L17" s="10" t="s">
        <v>42</v>
      </c>
      <c r="M17" s="39">
        <v>65662</v>
      </c>
      <c r="N17" s="39">
        <v>73373</v>
      </c>
      <c r="O17" s="39">
        <v>66911</v>
      </c>
      <c r="P17" s="40">
        <v>64529</v>
      </c>
      <c r="Q17" s="34"/>
      <c r="R17" s="39">
        <v>81717</v>
      </c>
      <c r="S17" s="39">
        <v>89721</v>
      </c>
      <c r="T17" s="39">
        <v>80278</v>
      </c>
      <c r="U17" s="40">
        <v>75788</v>
      </c>
      <c r="V17" s="34"/>
      <c r="W17" s="10" t="s">
        <v>42</v>
      </c>
      <c r="X17" s="39">
        <v>23064.590651198763</v>
      </c>
      <c r="Y17" s="39">
        <v>34099</v>
      </c>
      <c r="Z17" s="39">
        <v>34643</v>
      </c>
      <c r="AA17" s="40">
        <v>34190</v>
      </c>
    </row>
    <row r="18" spans="1:35" x14ac:dyDescent="0.25">
      <c r="A18" s="11" t="s">
        <v>41</v>
      </c>
      <c r="B18" s="39">
        <v>16707</v>
      </c>
      <c r="C18" s="39">
        <v>17224</v>
      </c>
      <c r="D18" s="39">
        <v>17218</v>
      </c>
      <c r="E18" s="40">
        <v>16658</v>
      </c>
      <c r="F18" s="34"/>
      <c r="G18" s="39">
        <v>31335</v>
      </c>
      <c r="H18" s="39">
        <v>34639</v>
      </c>
      <c r="I18" s="39">
        <v>31177</v>
      </c>
      <c r="J18" s="40">
        <v>29580</v>
      </c>
      <c r="K18" s="34"/>
      <c r="L18" s="11" t="s">
        <v>41</v>
      </c>
      <c r="M18" s="39">
        <v>29847</v>
      </c>
      <c r="N18" s="39">
        <v>33018</v>
      </c>
      <c r="O18" s="39">
        <v>29738</v>
      </c>
      <c r="P18" s="40">
        <v>28232</v>
      </c>
      <c r="Q18" s="34"/>
      <c r="R18" s="39">
        <v>40859</v>
      </c>
      <c r="S18" s="39">
        <v>44861</v>
      </c>
      <c r="T18" s="39">
        <v>40139</v>
      </c>
      <c r="U18" s="40">
        <v>37894</v>
      </c>
      <c r="V18" s="34"/>
      <c r="W18" s="11" t="s">
        <v>41</v>
      </c>
      <c r="X18" s="39">
        <v>9225.5535715390561</v>
      </c>
      <c r="Y18" s="39">
        <v>13343</v>
      </c>
      <c r="Z18" s="39">
        <v>13197</v>
      </c>
      <c r="AA18" s="40">
        <v>12596</v>
      </c>
    </row>
    <row r="19" spans="1:35" x14ac:dyDescent="0.25">
      <c r="A19" s="10" t="s">
        <v>43</v>
      </c>
      <c r="B19" s="39">
        <v>33415</v>
      </c>
      <c r="C19" s="39">
        <v>39616</v>
      </c>
      <c r="D19" s="39">
        <v>45915</v>
      </c>
      <c r="E19" s="40">
        <v>52057</v>
      </c>
      <c r="F19" s="34"/>
      <c r="G19" s="39">
        <v>65803</v>
      </c>
      <c r="H19" s="39">
        <v>84672</v>
      </c>
      <c r="I19" s="39">
        <v>89633</v>
      </c>
      <c r="J19" s="40">
        <v>101416</v>
      </c>
      <c r="K19" s="34"/>
      <c r="L19" s="10" t="s">
        <v>43</v>
      </c>
      <c r="M19" s="39">
        <v>62678</v>
      </c>
      <c r="N19" s="39">
        <v>80711</v>
      </c>
      <c r="O19" s="39">
        <v>85497</v>
      </c>
      <c r="P19" s="40">
        <v>96794</v>
      </c>
      <c r="Q19" s="34"/>
      <c r="R19" s="39">
        <v>85803</v>
      </c>
      <c r="S19" s="39">
        <v>109659</v>
      </c>
      <c r="T19" s="39">
        <v>115399</v>
      </c>
      <c r="U19" s="40">
        <v>129923</v>
      </c>
      <c r="V19" s="34"/>
      <c r="W19" s="10" t="s">
        <v>43</v>
      </c>
      <c r="X19" s="39">
        <v>18451.813865429234</v>
      </c>
      <c r="Y19" s="39">
        <v>31134</v>
      </c>
      <c r="Z19" s="39">
        <v>36292</v>
      </c>
      <c r="AA19" s="40">
        <v>41388</v>
      </c>
    </row>
    <row r="20" spans="1:35" x14ac:dyDescent="0.25">
      <c r="A20" s="11" t="s">
        <v>41</v>
      </c>
      <c r="B20" s="39">
        <v>10632</v>
      </c>
      <c r="C20" s="39">
        <v>13779</v>
      </c>
      <c r="D20" s="39">
        <v>17218</v>
      </c>
      <c r="E20" s="39">
        <v>20823</v>
      </c>
      <c r="F20" s="34"/>
      <c r="G20" s="39">
        <v>18801</v>
      </c>
      <c r="H20" s="39">
        <v>26941</v>
      </c>
      <c r="I20" s="39">
        <v>31177</v>
      </c>
      <c r="J20" s="39">
        <v>38031</v>
      </c>
      <c r="K20" s="34"/>
      <c r="L20" s="11" t="s">
        <v>41</v>
      </c>
      <c r="M20" s="39">
        <v>14923</v>
      </c>
      <c r="N20" s="39">
        <v>22012</v>
      </c>
      <c r="O20" s="39">
        <v>26021</v>
      </c>
      <c r="P20" s="39">
        <v>32265</v>
      </c>
      <c r="Q20" s="34"/>
      <c r="R20" s="39">
        <v>24515</v>
      </c>
      <c r="S20" s="39">
        <v>34892</v>
      </c>
      <c r="T20" s="39">
        <v>40139</v>
      </c>
      <c r="U20" s="39">
        <v>48721</v>
      </c>
      <c r="V20" s="34"/>
      <c r="W20" s="11" t="s">
        <v>41</v>
      </c>
      <c r="X20" s="39">
        <v>7380.3015127610215</v>
      </c>
      <c r="Y20" s="39">
        <v>13343</v>
      </c>
      <c r="Z20" s="39">
        <v>16497</v>
      </c>
      <c r="AA20" s="39">
        <v>19794</v>
      </c>
      <c r="AI20" s="41"/>
    </row>
    <row r="21" spans="1:35" x14ac:dyDescent="0.25">
      <c r="A21" s="10" t="s">
        <v>44</v>
      </c>
      <c r="B21" s="39">
        <v>47084</v>
      </c>
      <c r="C21" s="39">
        <v>55117</v>
      </c>
      <c r="D21" s="39">
        <v>63133</v>
      </c>
      <c r="E21" s="40">
        <v>70797</v>
      </c>
      <c r="F21" s="34"/>
      <c r="G21" s="39">
        <v>94004</v>
      </c>
      <c r="H21" s="39">
        <v>119311</v>
      </c>
      <c r="I21" s="39">
        <v>124707</v>
      </c>
      <c r="J21" s="40">
        <v>139447</v>
      </c>
      <c r="K21" s="34"/>
      <c r="L21" s="10" t="s">
        <v>44</v>
      </c>
      <c r="M21" s="39">
        <v>89540</v>
      </c>
      <c r="N21" s="39">
        <v>113729</v>
      </c>
      <c r="O21" s="39">
        <v>118952</v>
      </c>
      <c r="P21" s="40">
        <v>133092</v>
      </c>
      <c r="Q21" s="34"/>
      <c r="R21" s="39">
        <v>122576</v>
      </c>
      <c r="S21" s="39">
        <v>154520</v>
      </c>
      <c r="T21" s="39">
        <v>160555</v>
      </c>
      <c r="U21" s="40">
        <v>178644</v>
      </c>
      <c r="V21" s="34"/>
      <c r="W21" s="10" t="s">
        <v>44</v>
      </c>
      <c r="X21" s="39">
        <v>27677.367436968292</v>
      </c>
      <c r="Y21" s="39">
        <v>45959</v>
      </c>
      <c r="Z21" s="39">
        <v>52789</v>
      </c>
      <c r="AA21" s="40">
        <v>59383</v>
      </c>
    </row>
    <row r="22" spans="1:35" x14ac:dyDescent="0.25">
      <c r="A22" s="11" t="s">
        <v>41</v>
      </c>
      <c r="B22" s="39">
        <v>7594</v>
      </c>
      <c r="C22" s="39">
        <v>8612</v>
      </c>
      <c r="D22" s="39">
        <v>9566</v>
      </c>
      <c r="E22" s="39">
        <v>10411</v>
      </c>
      <c r="F22" s="34"/>
      <c r="G22" s="39">
        <v>31335</v>
      </c>
      <c r="H22" s="39">
        <v>38487</v>
      </c>
      <c r="I22" s="39">
        <v>38971</v>
      </c>
      <c r="J22" s="39">
        <v>42257</v>
      </c>
      <c r="K22" s="34"/>
      <c r="L22" s="11" t="s">
        <v>41</v>
      </c>
      <c r="M22" s="39">
        <v>35816</v>
      </c>
      <c r="N22" s="39">
        <v>44024</v>
      </c>
      <c r="O22" s="39">
        <v>44607</v>
      </c>
      <c r="P22" s="39">
        <v>48397</v>
      </c>
      <c r="Q22" s="34"/>
      <c r="R22" s="39">
        <v>53116</v>
      </c>
      <c r="S22" s="39">
        <v>64799</v>
      </c>
      <c r="T22" s="39">
        <v>65225</v>
      </c>
      <c r="U22" s="39">
        <v>70375</v>
      </c>
      <c r="V22" s="34"/>
      <c r="W22" s="11" t="s">
        <v>41</v>
      </c>
      <c r="X22" s="39">
        <v>6458.0288445475635</v>
      </c>
      <c r="Y22" s="39">
        <v>10378</v>
      </c>
      <c r="Z22" s="39">
        <v>11548</v>
      </c>
      <c r="AA22" s="39">
        <v>12596</v>
      </c>
    </row>
    <row r="23" spans="1:35" x14ac:dyDescent="0.25">
      <c r="A23" s="3" t="s">
        <v>170</v>
      </c>
      <c r="B23" s="39">
        <v>30377</v>
      </c>
      <c r="C23" s="39">
        <v>24606</v>
      </c>
      <c r="D23" s="39">
        <v>17392</v>
      </c>
      <c r="E23" s="40">
        <v>9053</v>
      </c>
      <c r="F23" s="34"/>
      <c r="G23" s="39">
        <v>41780</v>
      </c>
      <c r="H23" s="39">
        <v>37246</v>
      </c>
      <c r="I23" s="39">
        <v>24357</v>
      </c>
      <c r="J23" s="40">
        <v>12805</v>
      </c>
      <c r="K23" s="34"/>
      <c r="L23" s="3" t="s">
        <v>170</v>
      </c>
      <c r="M23" s="39">
        <v>51459</v>
      </c>
      <c r="N23" s="39">
        <v>48916</v>
      </c>
      <c r="O23" s="39">
        <v>35973</v>
      </c>
      <c r="P23" s="40">
        <v>25207</v>
      </c>
      <c r="Q23" s="34"/>
      <c r="R23" s="39">
        <v>40859</v>
      </c>
      <c r="S23" s="39">
        <v>36472</v>
      </c>
      <c r="T23" s="39">
        <v>23892</v>
      </c>
      <c r="U23" s="40">
        <v>12589</v>
      </c>
      <c r="V23" s="34"/>
      <c r="W23" s="3" t="s">
        <v>170</v>
      </c>
      <c r="X23" s="39">
        <v>21966.344117556073</v>
      </c>
      <c r="Y23" s="39">
        <v>26955</v>
      </c>
      <c r="Z23" s="39">
        <v>21517</v>
      </c>
      <c r="AA23" s="40">
        <v>14998</v>
      </c>
    </row>
    <row r="24" spans="1:35" x14ac:dyDescent="0.25">
      <c r="A24" s="7" t="s">
        <v>45</v>
      </c>
      <c r="B24" s="35">
        <v>99435</v>
      </c>
      <c r="C24" s="35">
        <v>213834</v>
      </c>
      <c r="D24" s="35">
        <v>339647</v>
      </c>
      <c r="E24" s="36">
        <v>477546</v>
      </c>
      <c r="F24" s="34"/>
      <c r="G24" s="35">
        <v>186359</v>
      </c>
      <c r="H24" s="35">
        <v>389065</v>
      </c>
      <c r="I24" s="35">
        <v>475160</v>
      </c>
      <c r="J24" s="36">
        <v>632776</v>
      </c>
      <c r="K24" s="34"/>
      <c r="L24" s="7" t="s">
        <v>45</v>
      </c>
      <c r="M24" s="35">
        <v>176261</v>
      </c>
      <c r="N24" s="35">
        <v>376765</v>
      </c>
      <c r="O24" s="35">
        <v>462801</v>
      </c>
      <c r="P24" s="36">
        <v>619467</v>
      </c>
      <c r="Q24" s="34"/>
      <c r="R24" s="35">
        <v>88099</v>
      </c>
      <c r="S24" s="35">
        <v>265848</v>
      </c>
      <c r="T24" s="35">
        <v>351369</v>
      </c>
      <c r="U24" s="36">
        <v>499353</v>
      </c>
      <c r="V24" s="34"/>
      <c r="W24" s="7" t="s">
        <v>45</v>
      </c>
      <c r="X24" s="35">
        <v>0</v>
      </c>
      <c r="Y24" s="35">
        <v>66608</v>
      </c>
      <c r="Z24" s="35">
        <v>194647</v>
      </c>
      <c r="AA24" s="36">
        <v>337686</v>
      </c>
    </row>
    <row r="25" spans="1:35" s="32" customFormat="1" x14ac:dyDescent="0.25">
      <c r="A25" s="6" t="s">
        <v>17</v>
      </c>
      <c r="B25" s="38">
        <f>SUM(B26:B27)</f>
        <v>208581</v>
      </c>
      <c r="C25" s="38">
        <f t="shared" ref="C25:E25" si="64">SUM(C26:C27)</f>
        <v>181297</v>
      </c>
      <c r="D25" s="38">
        <f t="shared" si="64"/>
        <v>147982</v>
      </c>
      <c r="E25" s="38">
        <f t="shared" si="64"/>
        <v>108198</v>
      </c>
      <c r="F25" s="34"/>
      <c r="G25" s="38">
        <f>SUM(G26:G27)</f>
        <v>128893</v>
      </c>
      <c r="H25" s="38">
        <f t="shared" ref="H25" si="65">SUM(H26:H27)</f>
        <v>111469</v>
      </c>
      <c r="I25" s="38">
        <f t="shared" ref="I25" si="66">SUM(I26:I27)</f>
        <v>49974</v>
      </c>
      <c r="J25" s="38">
        <f t="shared" ref="J25" si="67">SUM(J26:J27)</f>
        <v>2181</v>
      </c>
      <c r="K25" s="34"/>
      <c r="L25" s="6" t="s">
        <v>17</v>
      </c>
      <c r="M25" s="38">
        <f>SUM(M26:M27)</f>
        <v>164215</v>
      </c>
      <c r="N25" s="38">
        <f t="shared" ref="N25" si="68">SUM(N26:N27)</f>
        <v>154096</v>
      </c>
      <c r="O25" s="38">
        <f t="shared" ref="O25" si="69">SUM(O26:O27)</f>
        <v>92445</v>
      </c>
      <c r="P25" s="38">
        <f t="shared" ref="P25" si="70">SUM(P26:P27)</f>
        <v>47566</v>
      </c>
      <c r="Q25" s="34"/>
      <c r="R25" s="38">
        <f>SUM(R26:R27)</f>
        <v>230088</v>
      </c>
      <c r="S25" s="38">
        <f t="shared" ref="S25" si="71">SUM(S26:S27)</f>
        <v>233670</v>
      </c>
      <c r="T25" s="38">
        <f t="shared" ref="T25" si="72">SUM(T26:T27)</f>
        <v>171836</v>
      </c>
      <c r="U25" s="38">
        <f t="shared" ref="U25" si="73">SUM(U26:U27)</f>
        <v>132550</v>
      </c>
      <c r="V25" s="34"/>
      <c r="W25" s="6" t="s">
        <v>17</v>
      </c>
      <c r="X25" s="38">
        <f>SUM(X26:X27)</f>
        <v>127212</v>
      </c>
      <c r="Y25" s="38">
        <f t="shared" ref="Y25" si="74">SUM(Y26:Y27)</f>
        <v>95645</v>
      </c>
      <c r="Z25" s="38">
        <f t="shared" ref="Z25" si="75">SUM(Z26:Z27)</f>
        <v>59564</v>
      </c>
      <c r="AA25" s="38">
        <f t="shared" ref="AA25" si="76">SUM(AA26:AA27)</f>
        <v>18687</v>
      </c>
    </row>
    <row r="26" spans="1:35" x14ac:dyDescent="0.25">
      <c r="A26" s="2" t="s">
        <v>46</v>
      </c>
      <c r="B26" s="39">
        <v>75089</v>
      </c>
      <c r="C26" s="39">
        <v>67080</v>
      </c>
      <c r="D26" s="39">
        <v>56233</v>
      </c>
      <c r="E26" s="40">
        <v>42197</v>
      </c>
      <c r="F26" s="34"/>
      <c r="G26" s="39">
        <v>42531</v>
      </c>
      <c r="H26" s="39">
        <v>37900</v>
      </c>
      <c r="I26" s="39">
        <v>17490</v>
      </c>
      <c r="J26" s="40">
        <v>786</v>
      </c>
      <c r="K26" s="34"/>
      <c r="L26" s="2" t="s">
        <v>46</v>
      </c>
      <c r="M26" s="39">
        <v>54191</v>
      </c>
      <c r="N26" s="39">
        <v>52393</v>
      </c>
      <c r="O26" s="39">
        <v>32356</v>
      </c>
      <c r="P26" s="40">
        <v>17124</v>
      </c>
      <c r="Q26" s="34"/>
      <c r="R26" s="39">
        <v>73628</v>
      </c>
      <c r="S26" s="39">
        <v>77112</v>
      </c>
      <c r="T26" s="39">
        <v>58425</v>
      </c>
      <c r="U26" s="40">
        <v>46392</v>
      </c>
      <c r="V26" s="34"/>
      <c r="W26" s="2" t="s">
        <v>46</v>
      </c>
      <c r="X26" s="39">
        <v>44524</v>
      </c>
      <c r="Y26" s="39">
        <v>34432</v>
      </c>
      <c r="Z26" s="39">
        <v>22039</v>
      </c>
      <c r="AA26" s="40">
        <v>7101</v>
      </c>
    </row>
    <row r="27" spans="1:35" x14ac:dyDescent="0.25">
      <c r="A27" s="12" t="s">
        <v>2</v>
      </c>
      <c r="B27" s="35">
        <v>133492</v>
      </c>
      <c r="C27" s="35">
        <v>114217</v>
      </c>
      <c r="D27" s="35">
        <v>91749</v>
      </c>
      <c r="E27" s="36">
        <v>66001</v>
      </c>
      <c r="F27" s="34"/>
      <c r="G27" s="35">
        <v>86362</v>
      </c>
      <c r="H27" s="35">
        <v>73569</v>
      </c>
      <c r="I27" s="35">
        <v>32484</v>
      </c>
      <c r="J27" s="36">
        <v>1395</v>
      </c>
      <c r="K27" s="34"/>
      <c r="L27" s="12" t="s">
        <v>2</v>
      </c>
      <c r="M27" s="35">
        <v>110024</v>
      </c>
      <c r="N27" s="35">
        <v>101703</v>
      </c>
      <c r="O27" s="35">
        <v>60089</v>
      </c>
      <c r="P27" s="36">
        <v>30442</v>
      </c>
      <c r="Q27" s="34"/>
      <c r="R27" s="35">
        <v>156460</v>
      </c>
      <c r="S27" s="35">
        <v>156558</v>
      </c>
      <c r="T27" s="35">
        <v>113411</v>
      </c>
      <c r="U27" s="36">
        <v>86158</v>
      </c>
      <c r="V27" s="34"/>
      <c r="W27" s="12" t="s">
        <v>2</v>
      </c>
      <c r="X27" s="35">
        <v>82688</v>
      </c>
      <c r="Y27" s="35">
        <v>61213</v>
      </c>
      <c r="Z27" s="35">
        <v>37525</v>
      </c>
      <c r="AA27" s="36">
        <v>11586</v>
      </c>
    </row>
    <row r="28" spans="1:35" s="32" customFormat="1" x14ac:dyDescent="0.25">
      <c r="A28" s="4" t="s">
        <v>8</v>
      </c>
      <c r="B28" s="45">
        <f>SUM(B2:B4,B11,B25)</f>
        <v>1518845</v>
      </c>
      <c r="C28" s="45">
        <f t="shared" ref="C28:E28" si="77">SUM(C2:C4,C11,C25)</f>
        <v>1673873</v>
      </c>
      <c r="D28" s="45">
        <f t="shared" si="77"/>
        <v>1811660</v>
      </c>
      <c r="E28" s="45">
        <f t="shared" si="77"/>
        <v>1926240</v>
      </c>
      <c r="F28" s="34"/>
      <c r="G28" s="45">
        <f>SUM(G2:G4,G11,G25)</f>
        <v>1740813</v>
      </c>
      <c r="H28" s="45">
        <f t="shared" ref="H28:J28" si="78">SUM(H2:H4,H11,H25)</f>
        <v>2104279</v>
      </c>
      <c r="I28" s="45">
        <f t="shared" si="78"/>
        <v>2099730</v>
      </c>
      <c r="J28" s="45">
        <f t="shared" si="78"/>
        <v>2246493</v>
      </c>
      <c r="K28" s="34"/>
      <c r="L28" s="4" t="s">
        <v>8</v>
      </c>
      <c r="M28" s="45">
        <f>SUM(M2:M4,M11,M25)</f>
        <v>1744391</v>
      </c>
      <c r="N28" s="45">
        <f t="shared" ref="N28:P28" si="79">SUM(N2:N4,N11,N25)</f>
        <v>2108433</v>
      </c>
      <c r="O28" s="45">
        <f t="shared" si="79"/>
        <v>2103711</v>
      </c>
      <c r="P28" s="45">
        <f t="shared" si="79"/>
        <v>2250605</v>
      </c>
      <c r="Q28" s="34"/>
      <c r="R28" s="45">
        <f>SUM(R2:R4,R11,R25)</f>
        <v>1824048</v>
      </c>
      <c r="S28" s="45">
        <f t="shared" ref="S28:U28" si="80">SUM(S2:S4,S11,S25)</f>
        <v>2210429</v>
      </c>
      <c r="T28" s="45">
        <f t="shared" si="80"/>
        <v>2212233</v>
      </c>
      <c r="U28" s="45">
        <f t="shared" si="80"/>
        <v>2375361</v>
      </c>
      <c r="V28" s="34"/>
      <c r="W28" s="4" t="s">
        <v>8</v>
      </c>
      <c r="X28" s="45">
        <f>SUM(X2:X4,X11,X25)</f>
        <v>1218887</v>
      </c>
      <c r="Y28" s="45">
        <f t="shared" ref="Y28:AA28" si="81">SUM(Y2:Y4,Y11,Y25)</f>
        <v>1347776</v>
      </c>
      <c r="Z28" s="45">
        <f t="shared" si="81"/>
        <v>1463758</v>
      </c>
      <c r="AA28" s="45">
        <f t="shared" si="81"/>
        <v>1562050</v>
      </c>
    </row>
    <row r="29" spans="1:35" s="32" customFormat="1" x14ac:dyDescent="0.25">
      <c r="A29" s="13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13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13"/>
      <c r="X29" s="46"/>
      <c r="Y29" s="46"/>
      <c r="Z29" s="46"/>
      <c r="AA29" s="46"/>
    </row>
    <row r="30" spans="1:35" x14ac:dyDescent="0.25">
      <c r="A30" s="4" t="s">
        <v>37</v>
      </c>
      <c r="B30" s="30">
        <v>2013</v>
      </c>
      <c r="C30" s="30">
        <v>2012</v>
      </c>
      <c r="D30" s="30">
        <v>2011</v>
      </c>
      <c r="E30" s="31">
        <v>2010</v>
      </c>
      <c r="F30" s="34"/>
      <c r="G30" s="30">
        <v>2013</v>
      </c>
      <c r="H30" s="30">
        <v>2012</v>
      </c>
      <c r="I30" s="30">
        <v>2011</v>
      </c>
      <c r="J30" s="31">
        <v>2010</v>
      </c>
      <c r="K30" s="34"/>
      <c r="L30" s="4" t="s">
        <v>37</v>
      </c>
      <c r="M30" s="30">
        <v>2013</v>
      </c>
      <c r="N30" s="30">
        <v>2012</v>
      </c>
      <c r="O30" s="30">
        <v>2011</v>
      </c>
      <c r="P30" s="31">
        <v>2010</v>
      </c>
      <c r="Q30" s="34"/>
      <c r="R30" s="30">
        <v>2013</v>
      </c>
      <c r="S30" s="30">
        <v>2012</v>
      </c>
      <c r="T30" s="30">
        <v>2011</v>
      </c>
      <c r="U30" s="31">
        <v>2010</v>
      </c>
      <c r="V30" s="34"/>
      <c r="W30" s="4" t="s">
        <v>37</v>
      </c>
      <c r="X30" s="30">
        <v>2013</v>
      </c>
      <c r="Y30" s="30">
        <v>2012</v>
      </c>
      <c r="Z30" s="30">
        <v>2011</v>
      </c>
      <c r="AA30" s="31">
        <v>2010</v>
      </c>
    </row>
    <row r="31" spans="1:35" s="32" customFormat="1" x14ac:dyDescent="0.25">
      <c r="A31" s="6" t="s">
        <v>18</v>
      </c>
      <c r="B31" s="38">
        <f>SUM(B32:B35)</f>
        <v>632852</v>
      </c>
      <c r="C31" s="38">
        <f t="shared" ref="C31:E31" si="82">SUM(C32:C35)</f>
        <v>669548</v>
      </c>
      <c r="D31" s="38">
        <f t="shared" si="82"/>
        <v>696792</v>
      </c>
      <c r="E31" s="38">
        <f t="shared" si="82"/>
        <v>713422</v>
      </c>
      <c r="F31" s="46"/>
      <c r="G31" s="38">
        <f>SUM(G32:G35)</f>
        <v>756875</v>
      </c>
      <c r="H31" s="38">
        <f t="shared" ref="H31" si="83">SUM(H32:H35)</f>
        <v>876786</v>
      </c>
      <c r="I31" s="38">
        <f t="shared" ref="I31" si="84">SUM(I32:I35)</f>
        <v>839892</v>
      </c>
      <c r="J31" s="38">
        <f t="shared" ref="J31" si="85">SUM(J32:J35)</f>
        <v>864035</v>
      </c>
      <c r="K31" s="46"/>
      <c r="L31" s="6" t="s">
        <v>18</v>
      </c>
      <c r="M31" s="38">
        <f>SUM(M32:M35)</f>
        <v>758429</v>
      </c>
      <c r="N31" s="38">
        <f t="shared" ref="N31" si="86">SUM(N32:N35)</f>
        <v>878515</v>
      </c>
      <c r="O31" s="38">
        <f t="shared" ref="O31" si="87">SUM(O32:O35)</f>
        <v>841486</v>
      </c>
      <c r="P31" s="38">
        <f t="shared" ref="P31" si="88">SUM(P32:P35)</f>
        <v>865615</v>
      </c>
      <c r="Q31" s="46"/>
      <c r="R31" s="38">
        <f>SUM(R32:R35)</f>
        <v>793065</v>
      </c>
      <c r="S31" s="38">
        <f t="shared" ref="S31" si="89">SUM(S32:S35)</f>
        <v>921013</v>
      </c>
      <c r="T31" s="38">
        <f t="shared" ref="T31" si="90">SUM(T32:T35)</f>
        <v>884892</v>
      </c>
      <c r="U31" s="38">
        <f t="shared" ref="U31" si="91">SUM(U32:U35)</f>
        <v>913600</v>
      </c>
      <c r="V31" s="46"/>
      <c r="W31" s="6" t="s">
        <v>18</v>
      </c>
      <c r="X31" s="38">
        <f>SUM(X32:X35)</f>
        <v>529951</v>
      </c>
      <c r="Y31" s="38">
        <f t="shared" ref="Y31" si="92">SUM(Y32:Y35)</f>
        <v>561572</v>
      </c>
      <c r="Z31" s="38">
        <f t="shared" ref="Z31" si="93">SUM(Z32:Z35)</f>
        <v>585503</v>
      </c>
      <c r="AA31" s="38">
        <f t="shared" ref="AA31" si="94">SUM(AA32:AA35)</f>
        <v>600788</v>
      </c>
    </row>
    <row r="32" spans="1:35" x14ac:dyDescent="0.25">
      <c r="A32" s="3" t="s">
        <v>3</v>
      </c>
      <c r="B32" s="39">
        <v>400000</v>
      </c>
      <c r="C32" s="39">
        <v>400000</v>
      </c>
      <c r="D32" s="39">
        <v>400000</v>
      </c>
      <c r="E32" s="39">
        <v>400000</v>
      </c>
      <c r="F32" s="47"/>
      <c r="G32" s="39">
        <v>400000</v>
      </c>
      <c r="H32" s="39">
        <v>400000</v>
      </c>
      <c r="I32" s="39">
        <v>400000</v>
      </c>
      <c r="J32" s="39">
        <v>400000</v>
      </c>
      <c r="K32" s="47"/>
      <c r="L32" s="3" t="s">
        <v>3</v>
      </c>
      <c r="M32" s="39">
        <v>400000</v>
      </c>
      <c r="N32" s="39">
        <v>400000</v>
      </c>
      <c r="O32" s="39">
        <v>400000</v>
      </c>
      <c r="P32" s="39">
        <v>400000</v>
      </c>
      <c r="Q32" s="47"/>
      <c r="R32" s="39">
        <v>400000</v>
      </c>
      <c r="S32" s="39">
        <v>400000</v>
      </c>
      <c r="T32" s="39">
        <v>400000</v>
      </c>
      <c r="U32" s="39">
        <v>400000</v>
      </c>
      <c r="V32" s="47"/>
      <c r="W32" s="3" t="s">
        <v>3</v>
      </c>
      <c r="X32" s="39">
        <v>400000</v>
      </c>
      <c r="Y32" s="39">
        <v>400000</v>
      </c>
      <c r="Z32" s="39">
        <v>400000</v>
      </c>
      <c r="AA32" s="39">
        <v>400000</v>
      </c>
    </row>
    <row r="33" spans="1:29" x14ac:dyDescent="0.25">
      <c r="A33" s="3" t="s">
        <v>4</v>
      </c>
      <c r="B33" s="39">
        <v>82271</v>
      </c>
      <c r="C33" s="39">
        <v>93737</v>
      </c>
      <c r="D33" s="39">
        <v>104519</v>
      </c>
      <c r="E33" s="40">
        <v>114148</v>
      </c>
      <c r="F33" s="47"/>
      <c r="G33" s="39">
        <v>105963</v>
      </c>
      <c r="H33" s="39">
        <v>131518</v>
      </c>
      <c r="I33" s="39">
        <v>134383</v>
      </c>
      <c r="J33" s="40">
        <v>146886</v>
      </c>
      <c r="K33" s="47"/>
      <c r="L33" s="3" t="s">
        <v>4</v>
      </c>
      <c r="M33" s="39">
        <v>106180</v>
      </c>
      <c r="N33" s="39">
        <v>131777</v>
      </c>
      <c r="O33" s="39">
        <v>134638</v>
      </c>
      <c r="P33" s="40">
        <v>147155</v>
      </c>
      <c r="Q33" s="47"/>
      <c r="R33" s="39">
        <v>111029</v>
      </c>
      <c r="S33" s="39">
        <v>138152</v>
      </c>
      <c r="T33" s="39">
        <v>141583</v>
      </c>
      <c r="U33" s="40">
        <v>155312</v>
      </c>
      <c r="V33" s="47"/>
      <c r="W33" s="3" t="s">
        <v>4</v>
      </c>
      <c r="X33" s="39">
        <v>22890</v>
      </c>
      <c r="Y33" s="39">
        <v>52529</v>
      </c>
      <c r="Z33" s="39">
        <v>76063</v>
      </c>
      <c r="AA33" s="40">
        <v>90118</v>
      </c>
      <c r="AB33" s="48"/>
      <c r="AC33" s="48"/>
    </row>
    <row r="34" spans="1:29" x14ac:dyDescent="0.25">
      <c r="A34" s="3" t="s">
        <v>5</v>
      </c>
      <c r="B34" s="39">
        <v>22990</v>
      </c>
      <c r="C34" s="39">
        <v>46055</v>
      </c>
      <c r="D34" s="39">
        <v>62275</v>
      </c>
      <c r="E34" s="40">
        <v>70961</v>
      </c>
      <c r="F34" s="47"/>
      <c r="G34" s="39">
        <v>95497</v>
      </c>
      <c r="H34" s="39">
        <v>172331</v>
      </c>
      <c r="I34" s="39">
        <v>146136</v>
      </c>
      <c r="J34" s="40">
        <v>159191</v>
      </c>
      <c r="K34" s="47"/>
      <c r="L34" s="3" t="s">
        <v>5</v>
      </c>
      <c r="M34" s="39">
        <v>96834</v>
      </c>
      <c r="N34" s="39">
        <v>173801</v>
      </c>
      <c r="O34" s="39">
        <v>147475</v>
      </c>
      <c r="P34" s="40">
        <v>160502</v>
      </c>
      <c r="Q34" s="47"/>
      <c r="R34" s="39">
        <v>120186</v>
      </c>
      <c r="S34" s="39">
        <v>202269</v>
      </c>
      <c r="T34" s="39">
        <v>176349</v>
      </c>
      <c r="U34" s="40">
        <v>192179</v>
      </c>
      <c r="V34" s="47"/>
      <c r="W34" s="3" t="s">
        <v>5</v>
      </c>
      <c r="X34" s="39">
        <v>0</v>
      </c>
      <c r="Y34" s="39">
        <v>0</v>
      </c>
      <c r="Z34" s="39">
        <v>0</v>
      </c>
      <c r="AA34" s="40">
        <v>2420</v>
      </c>
    </row>
    <row r="35" spans="1:29" x14ac:dyDescent="0.25">
      <c r="A35" s="7" t="s">
        <v>6</v>
      </c>
      <c r="B35" s="35">
        <f>B67</f>
        <v>127591</v>
      </c>
      <c r="C35" s="35">
        <f t="shared" ref="C35:E35" si="95">C67</f>
        <v>129756</v>
      </c>
      <c r="D35" s="35">
        <f t="shared" si="95"/>
        <v>129998</v>
      </c>
      <c r="E35" s="35">
        <f t="shared" si="95"/>
        <v>128313</v>
      </c>
      <c r="F35" s="47"/>
      <c r="G35" s="35">
        <f>G67</f>
        <v>155415</v>
      </c>
      <c r="H35" s="35">
        <f t="shared" ref="H35:J35" si="96">H67</f>
        <v>172937</v>
      </c>
      <c r="I35" s="35">
        <f t="shared" si="96"/>
        <v>159373</v>
      </c>
      <c r="J35" s="35">
        <f t="shared" si="96"/>
        <v>157958</v>
      </c>
      <c r="K35" s="47"/>
      <c r="L35" s="7" t="s">
        <v>6</v>
      </c>
      <c r="M35" s="35">
        <f>M67</f>
        <v>155415</v>
      </c>
      <c r="N35" s="35">
        <f t="shared" ref="N35:P35" si="97">N67</f>
        <v>172937</v>
      </c>
      <c r="O35" s="35">
        <f t="shared" si="97"/>
        <v>159373</v>
      </c>
      <c r="P35" s="35">
        <f t="shared" si="97"/>
        <v>157958</v>
      </c>
      <c r="Q35" s="47"/>
      <c r="R35" s="35">
        <f>R67</f>
        <v>161850</v>
      </c>
      <c r="S35" s="35">
        <f t="shared" ref="S35:U35" si="98">S67</f>
        <v>180592</v>
      </c>
      <c r="T35" s="35">
        <f t="shared" si="98"/>
        <v>166960</v>
      </c>
      <c r="U35" s="35">
        <f t="shared" si="98"/>
        <v>166109</v>
      </c>
      <c r="V35" s="47"/>
      <c r="W35" s="7" t="s">
        <v>6</v>
      </c>
      <c r="X35" s="35">
        <f>X67</f>
        <v>107061</v>
      </c>
      <c r="Y35" s="35">
        <f t="shared" ref="Y35:AA35" si="99">Y67</f>
        <v>109043</v>
      </c>
      <c r="Z35" s="35">
        <f t="shared" si="99"/>
        <v>109440</v>
      </c>
      <c r="AA35" s="35">
        <f t="shared" si="99"/>
        <v>108250</v>
      </c>
    </row>
    <row r="36" spans="1:29" s="32" customFormat="1" x14ac:dyDescent="0.25">
      <c r="A36" s="4" t="s">
        <v>20</v>
      </c>
      <c r="B36" s="45">
        <v>60754</v>
      </c>
      <c r="C36" s="45">
        <v>66955</v>
      </c>
      <c r="D36" s="45">
        <v>72466</v>
      </c>
      <c r="E36" s="49">
        <v>77050</v>
      </c>
      <c r="F36" s="46"/>
      <c r="G36" s="45">
        <v>87041</v>
      </c>
      <c r="H36" s="45">
        <v>105214</v>
      </c>
      <c r="I36" s="45">
        <v>104986</v>
      </c>
      <c r="J36" s="49">
        <v>112325</v>
      </c>
      <c r="K36" s="46"/>
      <c r="L36" s="4" t="s">
        <v>20</v>
      </c>
      <c r="M36" s="45">
        <v>87219</v>
      </c>
      <c r="N36" s="45">
        <v>105422</v>
      </c>
      <c r="O36" s="45">
        <v>105186</v>
      </c>
      <c r="P36" s="49">
        <v>112530</v>
      </c>
      <c r="Q36" s="46"/>
      <c r="R36" s="45">
        <v>91202</v>
      </c>
      <c r="S36" s="45">
        <v>110521</v>
      </c>
      <c r="T36" s="45">
        <v>110612</v>
      </c>
      <c r="U36" s="49">
        <v>118768</v>
      </c>
      <c r="V36" s="46"/>
      <c r="W36" s="4" t="s">
        <v>20</v>
      </c>
      <c r="X36" s="45">
        <v>60944</v>
      </c>
      <c r="Y36" s="45">
        <v>67389</v>
      </c>
      <c r="Z36" s="45">
        <v>73188</v>
      </c>
      <c r="AA36" s="49">
        <v>78103</v>
      </c>
    </row>
    <row r="37" spans="1:29" s="32" customFormat="1" x14ac:dyDescent="0.25">
      <c r="A37" s="4" t="s">
        <v>7</v>
      </c>
      <c r="B37" s="45">
        <v>162488</v>
      </c>
      <c r="C37" s="45">
        <v>154464</v>
      </c>
      <c r="D37" s="45">
        <v>145269</v>
      </c>
      <c r="E37" s="49">
        <v>134837</v>
      </c>
      <c r="F37" s="46"/>
      <c r="G37" s="45">
        <v>162307</v>
      </c>
      <c r="H37" s="45">
        <v>154570</v>
      </c>
      <c r="I37" s="45">
        <v>144882</v>
      </c>
      <c r="J37" s="49">
        <v>134790</v>
      </c>
      <c r="K37" s="46"/>
      <c r="L37" s="4" t="s">
        <v>7</v>
      </c>
      <c r="M37" s="45">
        <v>162554</v>
      </c>
      <c r="N37" s="45">
        <v>154816</v>
      </c>
      <c r="O37" s="45">
        <v>145128</v>
      </c>
      <c r="P37" s="49">
        <v>135036</v>
      </c>
      <c r="Q37" s="46"/>
      <c r="R37" s="45">
        <v>169023</v>
      </c>
      <c r="S37" s="45">
        <v>161587</v>
      </c>
      <c r="T37" s="45">
        <v>152257</v>
      </c>
      <c r="U37" s="49">
        <v>142522</v>
      </c>
      <c r="V37" s="46"/>
      <c r="W37" s="4" t="s">
        <v>7</v>
      </c>
      <c r="X37" s="45">
        <v>119960</v>
      </c>
      <c r="Y37" s="45">
        <v>112360</v>
      </c>
      <c r="Z37" s="45">
        <v>103636</v>
      </c>
      <c r="AA37" s="49">
        <v>93723</v>
      </c>
    </row>
    <row r="38" spans="1:29" s="32" customFormat="1" x14ac:dyDescent="0.25">
      <c r="A38" s="6" t="s">
        <v>19</v>
      </c>
      <c r="B38" s="38">
        <f>SUM(B39:B44)</f>
        <v>622727</v>
      </c>
      <c r="C38" s="38">
        <f t="shared" ref="C38:E38" si="100">SUM(C39:C44)</f>
        <v>703028</v>
      </c>
      <c r="D38" s="38">
        <f t="shared" si="100"/>
        <v>779015</v>
      </c>
      <c r="E38" s="38">
        <f t="shared" si="100"/>
        <v>847545</v>
      </c>
      <c r="F38" s="46"/>
      <c r="G38" s="38">
        <f>SUM(G39:G44)</f>
        <v>731141</v>
      </c>
      <c r="H38" s="38">
        <f t="shared" ref="H38" si="101">SUM(H39:H44)</f>
        <v>904840</v>
      </c>
      <c r="I38" s="38">
        <f t="shared" ref="I38" si="102">SUM(I39:I44)</f>
        <v>923881</v>
      </c>
      <c r="J38" s="38">
        <f t="shared" ref="J38" si="103">SUM(J39:J44)</f>
        <v>1010922</v>
      </c>
      <c r="K38" s="46"/>
      <c r="L38" s="6" t="s">
        <v>19</v>
      </c>
      <c r="M38" s="38">
        <f>SUM(M39:M44)</f>
        <v>732644</v>
      </c>
      <c r="N38" s="38">
        <f t="shared" ref="N38" si="104">SUM(N39:N44)</f>
        <v>906625</v>
      </c>
      <c r="O38" s="38">
        <f t="shared" ref="O38" si="105">SUM(O39:O44)</f>
        <v>925634</v>
      </c>
      <c r="P38" s="38">
        <f t="shared" ref="P38" si="106">SUM(P39:P44)</f>
        <v>1012771</v>
      </c>
      <c r="Q38" s="46"/>
      <c r="R38" s="38">
        <f>SUM(R39:R44)</f>
        <v>766100</v>
      </c>
      <c r="S38" s="38">
        <f t="shared" ref="S38" si="107">SUM(S39:S44)</f>
        <v>950484</v>
      </c>
      <c r="T38" s="38">
        <f>SUM(T39:T44)</f>
        <v>973383</v>
      </c>
      <c r="U38" s="38">
        <f t="shared" ref="U38" si="108">SUM(U39:U44)</f>
        <v>1068912</v>
      </c>
      <c r="V38" s="46"/>
      <c r="W38" s="6" t="s">
        <v>19</v>
      </c>
      <c r="X38" s="38">
        <f>SUM(X39:X44)</f>
        <v>487555</v>
      </c>
      <c r="Y38" s="38">
        <f t="shared" ref="Y38" si="109">SUM(Y39:Y44)</f>
        <v>552589</v>
      </c>
      <c r="Z38" s="38">
        <f t="shared" ref="Z38" si="110">SUM(Z39:Z44)</f>
        <v>614779</v>
      </c>
      <c r="AA38" s="38">
        <f t="shared" ref="AA38" si="111">SUM(AA39:AA44)</f>
        <v>671682</v>
      </c>
    </row>
    <row r="39" spans="1:29" x14ac:dyDescent="0.25">
      <c r="A39" s="3" t="s">
        <v>47</v>
      </c>
      <c r="B39" s="39">
        <v>149454</v>
      </c>
      <c r="C39" s="39">
        <v>182787</v>
      </c>
      <c r="D39" s="39">
        <v>218124</v>
      </c>
      <c r="E39" s="40">
        <v>245788</v>
      </c>
      <c r="F39" s="47"/>
      <c r="G39" s="39">
        <v>168163</v>
      </c>
      <c r="H39" s="39">
        <v>226210</v>
      </c>
      <c r="I39" s="39">
        <v>249448</v>
      </c>
      <c r="J39" s="40">
        <v>283058</v>
      </c>
      <c r="K39" s="47"/>
      <c r="L39" s="3" t="s">
        <v>47</v>
      </c>
      <c r="M39" s="39">
        <v>168508</v>
      </c>
      <c r="N39" s="39">
        <v>226656</v>
      </c>
      <c r="O39" s="39">
        <v>249921</v>
      </c>
      <c r="P39" s="40">
        <v>283576</v>
      </c>
      <c r="Q39" s="47"/>
      <c r="R39" s="39">
        <v>176203</v>
      </c>
      <c r="S39" s="39">
        <v>237621</v>
      </c>
      <c r="T39" s="39">
        <v>262213</v>
      </c>
      <c r="U39" s="40">
        <v>299296</v>
      </c>
      <c r="V39" s="47"/>
      <c r="W39" s="3" t="s">
        <v>47</v>
      </c>
      <c r="X39" s="39">
        <v>121889</v>
      </c>
      <c r="Y39" s="39">
        <v>149199</v>
      </c>
      <c r="Z39" s="39">
        <v>178286</v>
      </c>
      <c r="AA39" s="40">
        <v>201505</v>
      </c>
    </row>
    <row r="40" spans="1:29" x14ac:dyDescent="0.25">
      <c r="A40" s="14" t="s">
        <v>41</v>
      </c>
      <c r="B40" s="39">
        <v>37364</v>
      </c>
      <c r="C40" s="39">
        <v>49212</v>
      </c>
      <c r="D40" s="39">
        <v>62321</v>
      </c>
      <c r="E40" s="40">
        <v>76279</v>
      </c>
      <c r="F40" s="47"/>
      <c r="G40" s="39">
        <v>36557</v>
      </c>
      <c r="H40" s="39">
        <v>54290</v>
      </c>
      <c r="I40" s="39">
        <v>64672</v>
      </c>
      <c r="J40" s="40">
        <v>80874</v>
      </c>
      <c r="K40" s="47"/>
      <c r="L40" s="14" t="s">
        <v>41</v>
      </c>
      <c r="M40" s="39">
        <v>36632</v>
      </c>
      <c r="N40" s="39">
        <v>54398</v>
      </c>
      <c r="O40" s="39">
        <v>64794</v>
      </c>
      <c r="P40" s="40">
        <v>81022</v>
      </c>
      <c r="Q40" s="47"/>
      <c r="R40" s="39">
        <v>38305</v>
      </c>
      <c r="S40" s="39">
        <v>57029</v>
      </c>
      <c r="T40" s="39">
        <v>68107</v>
      </c>
      <c r="U40" s="40">
        <v>85513</v>
      </c>
      <c r="V40" s="47"/>
      <c r="W40" s="14" t="s">
        <v>41</v>
      </c>
      <c r="X40" s="39">
        <v>34129</v>
      </c>
      <c r="Y40" s="39">
        <v>44207</v>
      </c>
      <c r="Z40" s="39">
        <v>55330</v>
      </c>
      <c r="AA40" s="40">
        <v>67168</v>
      </c>
    </row>
    <row r="41" spans="1:29" x14ac:dyDescent="0.25">
      <c r="A41" s="3" t="s">
        <v>48</v>
      </c>
      <c r="B41" s="39">
        <v>155682</v>
      </c>
      <c r="C41" s="39">
        <v>182787</v>
      </c>
      <c r="D41" s="39">
        <v>210334</v>
      </c>
      <c r="E41" s="40">
        <v>237313</v>
      </c>
      <c r="F41" s="47"/>
      <c r="G41" s="39">
        <v>175474</v>
      </c>
      <c r="H41" s="39">
        <v>226210</v>
      </c>
      <c r="I41" s="39">
        <v>240209</v>
      </c>
      <c r="J41" s="40">
        <v>272949</v>
      </c>
      <c r="K41" s="47"/>
      <c r="L41" s="3" t="s">
        <v>48</v>
      </c>
      <c r="M41" s="39">
        <v>175834</v>
      </c>
      <c r="N41" s="39">
        <v>226656</v>
      </c>
      <c r="O41" s="39">
        <v>240665</v>
      </c>
      <c r="P41" s="40">
        <v>273448</v>
      </c>
      <c r="Q41" s="47"/>
      <c r="R41" s="39">
        <v>183864</v>
      </c>
      <c r="S41" s="39">
        <v>237621</v>
      </c>
      <c r="T41" s="39">
        <v>253080</v>
      </c>
      <c r="U41" s="40">
        <v>288606</v>
      </c>
      <c r="V41" s="47"/>
      <c r="W41" s="3" t="s">
        <v>48</v>
      </c>
      <c r="X41" s="39">
        <v>117013</v>
      </c>
      <c r="Y41" s="39">
        <v>138147</v>
      </c>
      <c r="Z41" s="39">
        <v>159842</v>
      </c>
      <c r="AA41" s="40">
        <v>181354</v>
      </c>
    </row>
    <row r="42" spans="1:29" x14ac:dyDescent="0.25">
      <c r="A42" s="14" t="s">
        <v>41</v>
      </c>
      <c r="B42" s="39">
        <v>87182</v>
      </c>
      <c r="C42" s="39">
        <v>91394</v>
      </c>
      <c r="D42" s="39">
        <v>93482</v>
      </c>
      <c r="E42" s="40">
        <v>93230</v>
      </c>
      <c r="F42" s="47"/>
      <c r="G42" s="39">
        <v>95048</v>
      </c>
      <c r="H42" s="39">
        <v>108581</v>
      </c>
      <c r="I42" s="39">
        <v>101627</v>
      </c>
      <c r="J42" s="40">
        <v>101092</v>
      </c>
      <c r="K42" s="47"/>
      <c r="L42" s="14" t="s">
        <v>41</v>
      </c>
      <c r="M42" s="39">
        <v>95244</v>
      </c>
      <c r="N42" s="39">
        <v>108795</v>
      </c>
      <c r="O42" s="39">
        <v>101820</v>
      </c>
      <c r="P42" s="40">
        <v>101277</v>
      </c>
      <c r="Q42" s="47"/>
      <c r="R42" s="39">
        <v>99593</v>
      </c>
      <c r="S42" s="39">
        <v>114058</v>
      </c>
      <c r="T42" s="39">
        <v>107072</v>
      </c>
      <c r="U42" s="40">
        <v>106891</v>
      </c>
      <c r="V42" s="47"/>
      <c r="W42" s="14" t="s">
        <v>41</v>
      </c>
      <c r="X42" s="39">
        <v>63382</v>
      </c>
      <c r="Y42" s="39">
        <v>66311</v>
      </c>
      <c r="Z42" s="39">
        <v>67626</v>
      </c>
      <c r="AA42" s="40">
        <v>67168</v>
      </c>
    </row>
    <row r="43" spans="1:29" x14ac:dyDescent="0.25">
      <c r="A43" s="3" t="s">
        <v>44</v>
      </c>
      <c r="B43" s="39">
        <v>87182</v>
      </c>
      <c r="C43" s="39">
        <v>91394</v>
      </c>
      <c r="D43" s="39">
        <v>93482</v>
      </c>
      <c r="E43" s="40">
        <v>93230</v>
      </c>
      <c r="F43" s="47"/>
      <c r="G43" s="39">
        <v>95048</v>
      </c>
      <c r="H43" s="39">
        <v>108581</v>
      </c>
      <c r="I43" s="39">
        <v>101627</v>
      </c>
      <c r="J43" s="40">
        <v>101092</v>
      </c>
      <c r="K43" s="47"/>
      <c r="L43" s="3" t="s">
        <v>44</v>
      </c>
      <c r="M43" s="39">
        <v>95244</v>
      </c>
      <c r="N43" s="39">
        <v>108795</v>
      </c>
      <c r="O43" s="39">
        <v>101820</v>
      </c>
      <c r="P43" s="40">
        <v>101277</v>
      </c>
      <c r="Q43" s="47"/>
      <c r="R43" s="39">
        <v>99593</v>
      </c>
      <c r="S43" s="39">
        <v>114058</v>
      </c>
      <c r="T43" s="39">
        <v>107702</v>
      </c>
      <c r="U43" s="40">
        <v>106891</v>
      </c>
      <c r="V43" s="47"/>
      <c r="W43" s="3" t="s">
        <v>44</v>
      </c>
      <c r="X43" s="39">
        <v>63382</v>
      </c>
      <c r="Y43" s="39">
        <v>66311</v>
      </c>
      <c r="Z43" s="39">
        <v>67626</v>
      </c>
      <c r="AA43" s="40">
        <v>67168</v>
      </c>
    </row>
    <row r="44" spans="1:29" x14ac:dyDescent="0.25">
      <c r="A44" s="15" t="s">
        <v>41</v>
      </c>
      <c r="B44" s="35">
        <v>105863</v>
      </c>
      <c r="C44" s="35">
        <v>105454</v>
      </c>
      <c r="D44" s="35">
        <v>101272</v>
      </c>
      <c r="E44" s="36">
        <v>101705</v>
      </c>
      <c r="F44" s="47"/>
      <c r="G44" s="35">
        <v>160851</v>
      </c>
      <c r="H44" s="35">
        <v>180968</v>
      </c>
      <c r="I44" s="35">
        <v>166298</v>
      </c>
      <c r="J44" s="36">
        <v>171857</v>
      </c>
      <c r="K44" s="47"/>
      <c r="L44" s="15" t="s">
        <v>41</v>
      </c>
      <c r="M44" s="35">
        <v>161182</v>
      </c>
      <c r="N44" s="35">
        <v>181325</v>
      </c>
      <c r="O44" s="35">
        <v>166614</v>
      </c>
      <c r="P44" s="36">
        <v>172171</v>
      </c>
      <c r="Q44" s="47"/>
      <c r="R44" s="35">
        <v>168542</v>
      </c>
      <c r="S44" s="35">
        <v>190097</v>
      </c>
      <c r="T44" s="35">
        <v>175209</v>
      </c>
      <c r="U44" s="36">
        <v>181715</v>
      </c>
      <c r="V44" s="47"/>
      <c r="W44" s="15" t="s">
        <v>41</v>
      </c>
      <c r="X44" s="35">
        <v>87760</v>
      </c>
      <c r="Y44" s="35">
        <v>88414</v>
      </c>
      <c r="Z44" s="35">
        <v>86069</v>
      </c>
      <c r="AA44" s="36">
        <v>87319</v>
      </c>
    </row>
    <row r="45" spans="1:29" s="32" customFormat="1" x14ac:dyDescent="0.25">
      <c r="A45" s="6" t="s">
        <v>17</v>
      </c>
      <c r="B45" s="38">
        <f>SUM(B46:B47)</f>
        <v>40024</v>
      </c>
      <c r="C45" s="38">
        <f t="shared" ref="C45:E45" si="112">SUM(C46:C47)</f>
        <v>79878</v>
      </c>
      <c r="D45" s="38">
        <f t="shared" si="112"/>
        <v>118118</v>
      </c>
      <c r="E45" s="38">
        <f t="shared" si="112"/>
        <v>153386</v>
      </c>
      <c r="F45" s="46"/>
      <c r="G45" s="38">
        <f>SUM(G46:G47)</f>
        <v>3449</v>
      </c>
      <c r="H45" s="38">
        <f t="shared" ref="H45" si="113">SUM(H46:H47)</f>
        <v>62869</v>
      </c>
      <c r="I45" s="38">
        <f t="shared" ref="I45" si="114">SUM(I46:I47)</f>
        <v>86089</v>
      </c>
      <c r="J45" s="38">
        <f t="shared" ref="J45" si="115">SUM(J46:J47)</f>
        <v>124421</v>
      </c>
      <c r="K45" s="46"/>
      <c r="L45" s="6" t="s">
        <v>17</v>
      </c>
      <c r="M45" s="38">
        <f>SUM(M46:M47)</f>
        <v>3545</v>
      </c>
      <c r="N45" s="38">
        <f t="shared" ref="N45" si="116">SUM(N46:N47)</f>
        <v>63055</v>
      </c>
      <c r="O45" s="38">
        <f t="shared" ref="O45" si="117">SUM(O46:O47)</f>
        <v>86277</v>
      </c>
      <c r="P45" s="38">
        <f t="shared" ref="P45" si="118">SUM(P46:P47)</f>
        <v>124653</v>
      </c>
      <c r="Q45" s="46"/>
      <c r="R45" s="38">
        <f>SUM(R46:R47)</f>
        <v>4658</v>
      </c>
      <c r="S45" s="38">
        <f t="shared" ref="S45" si="119">SUM(S46:S47)</f>
        <v>66824</v>
      </c>
      <c r="T45" s="38">
        <f t="shared" ref="T45" si="120">SUM(T46:T47)</f>
        <v>91089</v>
      </c>
      <c r="U45" s="38">
        <f t="shared" ref="U45" si="121">SUM(U46:U47)</f>
        <v>131559</v>
      </c>
      <c r="V45" s="46"/>
      <c r="W45" s="6" t="s">
        <v>17</v>
      </c>
      <c r="X45" s="38">
        <f>SUM(X46:X47)</f>
        <v>20477</v>
      </c>
      <c r="Y45" s="38">
        <f t="shared" ref="Y45" si="122">SUM(Y46:Y47)</f>
        <v>53866</v>
      </c>
      <c r="Z45" s="38">
        <f t="shared" ref="Z45" si="123">SUM(Z46:Z47)</f>
        <v>86652</v>
      </c>
      <c r="AA45" s="38">
        <f t="shared" ref="AA45" si="124">SUM(AA46:AA47)</f>
        <v>117754</v>
      </c>
    </row>
    <row r="46" spans="1:29" x14ac:dyDescent="0.25">
      <c r="A46" s="3" t="s">
        <v>49</v>
      </c>
      <c r="B46" s="39">
        <v>11207</v>
      </c>
      <c r="C46" s="39">
        <v>23165</v>
      </c>
      <c r="D46" s="39">
        <v>35436</v>
      </c>
      <c r="E46" s="40">
        <v>47550</v>
      </c>
      <c r="F46" s="47"/>
      <c r="G46" s="39">
        <v>931</v>
      </c>
      <c r="H46" s="39">
        <v>17604</v>
      </c>
      <c r="I46" s="39">
        <v>24966</v>
      </c>
      <c r="J46" s="40">
        <v>37326</v>
      </c>
      <c r="K46" s="47"/>
      <c r="L46" s="3" t="s">
        <v>49</v>
      </c>
      <c r="M46" s="39">
        <v>959</v>
      </c>
      <c r="N46" s="39">
        <v>17655</v>
      </c>
      <c r="O46" s="39">
        <v>25021</v>
      </c>
      <c r="P46" s="40">
        <v>37395</v>
      </c>
      <c r="Q46" s="47"/>
      <c r="R46" s="39">
        <v>1258</v>
      </c>
      <c r="S46" s="39">
        <v>18711</v>
      </c>
      <c r="T46" s="39">
        <v>26416</v>
      </c>
      <c r="U46" s="40">
        <v>39468</v>
      </c>
      <c r="V46" s="47"/>
      <c r="W46" s="3" t="s">
        <v>49</v>
      </c>
      <c r="X46" s="39">
        <v>5529</v>
      </c>
      <c r="Y46" s="39">
        <v>15082</v>
      </c>
      <c r="Z46" s="39">
        <v>25129</v>
      </c>
      <c r="AA46" s="40">
        <v>35326</v>
      </c>
    </row>
    <row r="47" spans="1:29" x14ac:dyDescent="0.25">
      <c r="A47" s="7" t="s">
        <v>2</v>
      </c>
      <c r="B47" s="35">
        <v>28817</v>
      </c>
      <c r="C47" s="35">
        <v>56713</v>
      </c>
      <c r="D47" s="35">
        <v>82682</v>
      </c>
      <c r="E47" s="36">
        <v>105836</v>
      </c>
      <c r="F47" s="47"/>
      <c r="G47" s="35">
        <v>2518</v>
      </c>
      <c r="H47" s="35">
        <v>45265</v>
      </c>
      <c r="I47" s="35">
        <v>61123</v>
      </c>
      <c r="J47" s="36">
        <v>87095</v>
      </c>
      <c r="K47" s="47"/>
      <c r="L47" s="7" t="s">
        <v>2</v>
      </c>
      <c r="M47" s="35">
        <v>2586</v>
      </c>
      <c r="N47" s="35">
        <v>45400</v>
      </c>
      <c r="O47" s="35">
        <v>61256</v>
      </c>
      <c r="P47" s="36">
        <v>87258</v>
      </c>
      <c r="Q47" s="47"/>
      <c r="R47" s="35">
        <v>3400</v>
      </c>
      <c r="S47" s="35">
        <v>48113</v>
      </c>
      <c r="T47" s="35">
        <v>64673</v>
      </c>
      <c r="U47" s="36">
        <v>92091</v>
      </c>
      <c r="V47" s="47"/>
      <c r="W47" s="7" t="s">
        <v>2</v>
      </c>
      <c r="X47" s="35">
        <v>14948</v>
      </c>
      <c r="Y47" s="35">
        <v>38784</v>
      </c>
      <c r="Z47" s="35">
        <v>61523</v>
      </c>
      <c r="AA47" s="36">
        <v>82428</v>
      </c>
    </row>
    <row r="48" spans="1:29" s="32" customFormat="1" x14ac:dyDescent="0.25">
      <c r="A48" s="4" t="s">
        <v>9</v>
      </c>
      <c r="B48" s="45">
        <f>SUM(B31,B36:B38,B45)</f>
        <v>1518845</v>
      </c>
      <c r="C48" s="45">
        <f t="shared" ref="C48:E48" si="125">SUM(C31,C36:C38,C45)</f>
        <v>1673873</v>
      </c>
      <c r="D48" s="45">
        <f t="shared" si="125"/>
        <v>1811660</v>
      </c>
      <c r="E48" s="45">
        <f t="shared" si="125"/>
        <v>1926240</v>
      </c>
      <c r="F48" s="46"/>
      <c r="G48" s="45">
        <f>SUM(G31,G36:G38,G45)</f>
        <v>1740813</v>
      </c>
      <c r="H48" s="45">
        <f t="shared" ref="H48:J48" si="126">SUM(H31,H36:H38,H45)</f>
        <v>2104279</v>
      </c>
      <c r="I48" s="45">
        <f t="shared" si="126"/>
        <v>2099730</v>
      </c>
      <c r="J48" s="45">
        <f t="shared" si="126"/>
        <v>2246493</v>
      </c>
      <c r="K48" s="46"/>
      <c r="L48" s="4" t="s">
        <v>9</v>
      </c>
      <c r="M48" s="45">
        <f>SUM(M31,M36:M38,M45)</f>
        <v>1744391</v>
      </c>
      <c r="N48" s="45">
        <f t="shared" ref="N48:P48" si="127">SUM(N31,N36:N38,N45)</f>
        <v>2108433</v>
      </c>
      <c r="O48" s="45">
        <f t="shared" si="127"/>
        <v>2103711</v>
      </c>
      <c r="P48" s="45">
        <f t="shared" si="127"/>
        <v>2250605</v>
      </c>
      <c r="Q48" s="46"/>
      <c r="R48" s="45">
        <f>SUM(R31,R36:R38,R45)</f>
        <v>1824048</v>
      </c>
      <c r="S48" s="45">
        <f t="shared" ref="S48:U48" si="128">SUM(S31,S36:S38,S45)</f>
        <v>2210429</v>
      </c>
      <c r="T48" s="45">
        <f t="shared" si="128"/>
        <v>2212233</v>
      </c>
      <c r="U48" s="45">
        <f t="shared" si="128"/>
        <v>2375361</v>
      </c>
      <c r="V48" s="46"/>
      <c r="W48" s="4" t="s">
        <v>9</v>
      </c>
      <c r="X48" s="45">
        <f>SUM(X31,X36:X38,X45)</f>
        <v>1218887</v>
      </c>
      <c r="Y48" s="45">
        <f t="shared" ref="Y48:AA48" si="129">SUM(Y31,Y36:Y38,Y45)</f>
        <v>1347776</v>
      </c>
      <c r="Z48" s="45">
        <f t="shared" si="129"/>
        <v>1463758</v>
      </c>
      <c r="AA48" s="45">
        <f t="shared" si="129"/>
        <v>1562050</v>
      </c>
    </row>
    <row r="49" spans="1:27" s="32" customFormat="1" x14ac:dyDescent="0.25">
      <c r="A49" s="13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13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13"/>
      <c r="X49" s="46"/>
      <c r="Y49" s="46"/>
      <c r="Z49" s="46"/>
      <c r="AA49" s="46"/>
    </row>
    <row r="50" spans="1:27" x14ac:dyDescent="0.25">
      <c r="A50" s="4" t="s">
        <v>38</v>
      </c>
      <c r="B50" s="30">
        <v>2013</v>
      </c>
      <c r="C50" s="30">
        <v>2012</v>
      </c>
      <c r="D50" s="30">
        <v>2011</v>
      </c>
      <c r="E50" s="31">
        <v>2010</v>
      </c>
      <c r="F50" s="34"/>
      <c r="G50" s="30">
        <v>2013</v>
      </c>
      <c r="H50" s="30">
        <v>2012</v>
      </c>
      <c r="I50" s="30">
        <v>2011</v>
      </c>
      <c r="J50" s="31">
        <v>2010</v>
      </c>
      <c r="K50" s="34"/>
      <c r="L50" s="4" t="s">
        <v>38</v>
      </c>
      <c r="M50" s="30">
        <v>2013</v>
      </c>
      <c r="N50" s="30">
        <v>2012</v>
      </c>
      <c r="O50" s="30">
        <v>2011</v>
      </c>
      <c r="P50" s="31">
        <v>2010</v>
      </c>
      <c r="Q50" s="34"/>
      <c r="R50" s="30">
        <v>2013</v>
      </c>
      <c r="S50" s="30">
        <v>2012</v>
      </c>
      <c r="T50" s="30">
        <v>2011</v>
      </c>
      <c r="U50" s="31">
        <v>2010</v>
      </c>
      <c r="V50" s="34"/>
      <c r="W50" s="4" t="s">
        <v>38</v>
      </c>
      <c r="X50" s="30">
        <v>2013</v>
      </c>
      <c r="Y50" s="30">
        <v>2012</v>
      </c>
      <c r="Z50" s="30">
        <v>2011</v>
      </c>
      <c r="AA50" s="31">
        <v>2010</v>
      </c>
    </row>
    <row r="51" spans="1:27" s="32" customFormat="1" x14ac:dyDescent="0.25">
      <c r="A51" s="6" t="s">
        <v>21</v>
      </c>
      <c r="B51" s="38">
        <f>SUM(B52:B54)</f>
        <v>489500</v>
      </c>
      <c r="C51" s="38">
        <f t="shared" ref="C51:E51" si="130">SUM(C52:C54)</f>
        <v>551691</v>
      </c>
      <c r="D51" s="38">
        <f t="shared" si="130"/>
        <v>616290</v>
      </c>
      <c r="E51" s="38">
        <f t="shared" si="130"/>
        <v>683295</v>
      </c>
      <c r="F51" s="46"/>
      <c r="G51" s="38">
        <f>SUM(G52:G54)</f>
        <v>484413</v>
      </c>
      <c r="H51" s="38">
        <f t="shared" ref="H51" si="131">SUM(H52:H54)</f>
        <v>595829</v>
      </c>
      <c r="I51" s="38">
        <f t="shared" ref="I51" si="132">SUM(I52:I54)</f>
        <v>610361</v>
      </c>
      <c r="J51" s="38">
        <f t="shared" ref="J51" si="133">SUM(J52:J54)</f>
        <v>676967</v>
      </c>
      <c r="K51" s="46"/>
      <c r="L51" s="6" t="s">
        <v>21</v>
      </c>
      <c r="M51" s="38">
        <f>SUM(M52:M54)</f>
        <v>484413</v>
      </c>
      <c r="N51" s="38">
        <f t="shared" ref="N51" si="134">SUM(N52:N54)</f>
        <v>595829</v>
      </c>
      <c r="O51" s="38">
        <f t="shared" ref="O51" si="135">SUM(O52:O54)</f>
        <v>610361</v>
      </c>
      <c r="P51" s="38">
        <f t="shared" ref="P51" si="136">SUM(P52:P54)</f>
        <v>676967</v>
      </c>
      <c r="Q51" s="46"/>
      <c r="R51" s="38">
        <f>SUM(R52:R54)</f>
        <v>486767</v>
      </c>
      <c r="S51" s="38">
        <f t="shared" ref="S51" si="137">SUM(S52:S54)</f>
        <v>598723</v>
      </c>
      <c r="T51" s="38">
        <f t="shared" ref="T51" si="138">SUM(T52:T54)</f>
        <v>613326</v>
      </c>
      <c r="U51" s="38">
        <f t="shared" ref="U51" si="139">SUM(U52:U54)</f>
        <v>680257</v>
      </c>
      <c r="V51" s="46"/>
      <c r="W51" s="6" t="s">
        <v>21</v>
      </c>
      <c r="X51" s="38">
        <f>SUM(X52:X54)</f>
        <v>491686</v>
      </c>
      <c r="Y51" s="38">
        <f t="shared" ref="Y51" si="140">SUM(Y52:Y54)</f>
        <v>553939</v>
      </c>
      <c r="Z51" s="38">
        <f t="shared" ref="Z51" si="141">SUM(Z52:Z54)</f>
        <v>618573</v>
      </c>
      <c r="AA51" s="38">
        <f t="shared" ref="AA51" si="142">SUM(AA52:AA54)</f>
        <v>685584</v>
      </c>
    </row>
    <row r="52" spans="1:27" x14ac:dyDescent="0.25">
      <c r="A52" s="3" t="s">
        <v>24</v>
      </c>
      <c r="B52" s="39">
        <v>401230</v>
      </c>
      <c r="C52" s="39">
        <v>441353</v>
      </c>
      <c r="D52" s="39">
        <v>481476</v>
      </c>
      <c r="E52" s="40">
        <v>521599</v>
      </c>
      <c r="F52" s="47"/>
      <c r="G52" s="39">
        <v>403678</v>
      </c>
      <c r="H52" s="39">
        <v>484414</v>
      </c>
      <c r="I52" s="39">
        <v>484414</v>
      </c>
      <c r="J52" s="40">
        <v>524781</v>
      </c>
      <c r="K52" s="47"/>
      <c r="L52" s="3" t="s">
        <v>24</v>
      </c>
      <c r="M52" s="39">
        <v>403678</v>
      </c>
      <c r="N52" s="39">
        <v>484414</v>
      </c>
      <c r="O52" s="39">
        <v>484414</v>
      </c>
      <c r="P52" s="40">
        <v>524781</v>
      </c>
      <c r="Q52" s="47"/>
      <c r="R52" s="39">
        <v>405639</v>
      </c>
      <c r="S52" s="39">
        <v>486767</v>
      </c>
      <c r="T52" s="39">
        <v>486767</v>
      </c>
      <c r="U52" s="40">
        <v>527331</v>
      </c>
      <c r="V52" s="47"/>
      <c r="W52" s="3" t="s">
        <v>24</v>
      </c>
      <c r="X52" s="39">
        <v>396521</v>
      </c>
      <c r="Y52" s="39">
        <v>436173</v>
      </c>
      <c r="Z52" s="39">
        <v>475825</v>
      </c>
      <c r="AA52" s="40">
        <v>515477</v>
      </c>
    </row>
    <row r="53" spans="1:27" x14ac:dyDescent="0.25">
      <c r="A53" s="3" t="s">
        <v>22</v>
      </c>
      <c r="B53" s="39">
        <v>56172</v>
      </c>
      <c r="C53" s="39">
        <v>70616</v>
      </c>
      <c r="D53" s="39">
        <v>86666</v>
      </c>
      <c r="E53" s="40">
        <v>104320</v>
      </c>
      <c r="F53" s="47"/>
      <c r="G53" s="39">
        <v>52478</v>
      </c>
      <c r="H53" s="39">
        <v>72662</v>
      </c>
      <c r="I53" s="39">
        <v>82350</v>
      </c>
      <c r="J53" s="40">
        <v>99708</v>
      </c>
      <c r="K53" s="47"/>
      <c r="L53" s="3" t="s">
        <v>22</v>
      </c>
      <c r="M53" s="39">
        <v>52478</v>
      </c>
      <c r="N53" s="39">
        <v>72662</v>
      </c>
      <c r="O53" s="39">
        <v>82350</v>
      </c>
      <c r="P53" s="40">
        <v>99708</v>
      </c>
      <c r="Q53" s="47"/>
      <c r="R53" s="39">
        <v>52733</v>
      </c>
      <c r="S53" s="39">
        <v>73015</v>
      </c>
      <c r="T53" s="39">
        <v>82750</v>
      </c>
      <c r="U53" s="40">
        <v>100193</v>
      </c>
      <c r="V53" s="47"/>
      <c r="W53" s="3" t="s">
        <v>22</v>
      </c>
      <c r="X53" s="39">
        <v>59478</v>
      </c>
      <c r="Y53" s="39">
        <v>74149</v>
      </c>
      <c r="Z53" s="39">
        <v>90407</v>
      </c>
      <c r="AA53" s="40">
        <v>108250</v>
      </c>
    </row>
    <row r="54" spans="1:27" x14ac:dyDescent="0.25">
      <c r="A54" s="16" t="s">
        <v>39</v>
      </c>
      <c r="B54" s="50">
        <v>32098</v>
      </c>
      <c r="C54" s="50">
        <v>39722</v>
      </c>
      <c r="D54" s="50">
        <v>48148</v>
      </c>
      <c r="E54" s="50">
        <v>57376</v>
      </c>
      <c r="F54" s="47"/>
      <c r="G54" s="50">
        <v>28257</v>
      </c>
      <c r="H54" s="50">
        <v>38753</v>
      </c>
      <c r="I54" s="50">
        <v>43597</v>
      </c>
      <c r="J54" s="50">
        <v>52478</v>
      </c>
      <c r="K54" s="47"/>
      <c r="L54" s="16" t="s">
        <v>39</v>
      </c>
      <c r="M54" s="50">
        <v>28257</v>
      </c>
      <c r="N54" s="50">
        <v>38753</v>
      </c>
      <c r="O54" s="50">
        <v>43597</v>
      </c>
      <c r="P54" s="50">
        <v>52478</v>
      </c>
      <c r="Q54" s="47"/>
      <c r="R54" s="50">
        <v>28395</v>
      </c>
      <c r="S54" s="50">
        <v>38941</v>
      </c>
      <c r="T54" s="50">
        <v>43809</v>
      </c>
      <c r="U54" s="50">
        <v>52733</v>
      </c>
      <c r="V54" s="47"/>
      <c r="W54" s="16" t="s">
        <v>39</v>
      </c>
      <c r="X54" s="50">
        <v>35687</v>
      </c>
      <c r="Y54" s="50">
        <v>43617</v>
      </c>
      <c r="Z54" s="50">
        <v>52341</v>
      </c>
      <c r="AA54" s="50">
        <v>61857</v>
      </c>
    </row>
    <row r="55" spans="1:27" s="32" customFormat="1" x14ac:dyDescent="0.25">
      <c r="A55" s="6" t="s">
        <v>23</v>
      </c>
      <c r="B55" s="38">
        <f>SUM(B56:B62)</f>
        <v>296910</v>
      </c>
      <c r="C55" s="38">
        <f t="shared" ref="C55:E55" si="143">SUM(C56:C62)</f>
        <v>357497</v>
      </c>
      <c r="D55" s="38">
        <f t="shared" si="143"/>
        <v>423699</v>
      </c>
      <c r="E55" s="38">
        <f t="shared" si="143"/>
        <v>495520</v>
      </c>
      <c r="F55" s="46"/>
      <c r="G55" s="38">
        <f>SUM(G56:G62)</f>
        <v>282575</v>
      </c>
      <c r="H55" s="38">
        <f t="shared" ref="H55" si="144">SUM(H56:H62)</f>
        <v>372998</v>
      </c>
      <c r="I55" s="38">
        <f t="shared" ref="I55" si="145">SUM(I56:I62)</f>
        <v>406907</v>
      </c>
      <c r="J55" s="38">
        <f t="shared" ref="J55" si="146">SUM(J56:J62)</f>
        <v>477551</v>
      </c>
      <c r="K55" s="46"/>
      <c r="L55" s="6" t="s">
        <v>23</v>
      </c>
      <c r="M55" s="38">
        <f>SUM(M56:M62)</f>
        <v>282575</v>
      </c>
      <c r="N55" s="38">
        <f t="shared" ref="N55" si="147">SUM(N56:N62)</f>
        <v>372998</v>
      </c>
      <c r="O55" s="38">
        <f t="shared" ref="O55" si="148">SUM(O56:O62)</f>
        <v>406907</v>
      </c>
      <c r="P55" s="38">
        <f t="shared" ref="P55" si="149">SUM(P56:P62)</f>
        <v>477551</v>
      </c>
      <c r="Q55" s="46"/>
      <c r="R55" s="38">
        <f>SUM(R56:R62)</f>
        <v>275835</v>
      </c>
      <c r="S55" s="38">
        <f t="shared" ref="S55" si="150">SUM(S56:S62)</f>
        <v>365074</v>
      </c>
      <c r="T55" s="38">
        <f t="shared" ref="T55" si="151">SUM(T56:T62)</f>
        <v>399149</v>
      </c>
      <c r="U55" s="38">
        <f t="shared" ref="U55" si="152">SUM(U56:U62)</f>
        <v>469325</v>
      </c>
      <c r="V55" s="46"/>
      <c r="W55" s="6" t="s">
        <v>23</v>
      </c>
      <c r="X55" s="38">
        <f>SUM(X56:X62)</f>
        <v>297391</v>
      </c>
      <c r="Y55" s="38">
        <f t="shared" ref="Y55" si="153">SUM(Y56:Y62)</f>
        <v>357662</v>
      </c>
      <c r="Z55" s="38">
        <f t="shared" ref="Z55" si="154">SUM(Z56:Z62)</f>
        <v>423485</v>
      </c>
      <c r="AA55" s="38">
        <f t="shared" ref="AA55" si="155">SUM(AA56:AA62)</f>
        <v>494858</v>
      </c>
    </row>
    <row r="56" spans="1:27" x14ac:dyDescent="0.25">
      <c r="A56" s="3" t="s">
        <v>25</v>
      </c>
      <c r="B56" s="39">
        <v>68209</v>
      </c>
      <c r="C56" s="39">
        <v>79444</v>
      </c>
      <c r="D56" s="39">
        <v>91480</v>
      </c>
      <c r="E56" s="40">
        <v>104320</v>
      </c>
      <c r="F56" s="47"/>
      <c r="G56" s="39">
        <v>64588</v>
      </c>
      <c r="H56" s="39">
        <v>82350</v>
      </c>
      <c r="I56" s="39">
        <v>87194</v>
      </c>
      <c r="J56" s="40">
        <v>99708</v>
      </c>
      <c r="K56" s="47"/>
      <c r="L56" s="3" t="s">
        <v>25</v>
      </c>
      <c r="M56" s="39">
        <v>64588</v>
      </c>
      <c r="N56" s="39">
        <v>82350</v>
      </c>
      <c r="O56" s="39">
        <v>87194</v>
      </c>
      <c r="P56" s="40">
        <v>99708</v>
      </c>
      <c r="Q56" s="47"/>
      <c r="R56" s="39">
        <v>64902</v>
      </c>
      <c r="S56" s="39">
        <v>82750</v>
      </c>
      <c r="T56" s="39">
        <v>87618</v>
      </c>
      <c r="U56" s="40">
        <v>100193</v>
      </c>
      <c r="V56" s="47"/>
      <c r="W56" s="3" t="s">
        <v>25</v>
      </c>
      <c r="X56" s="39">
        <v>63443</v>
      </c>
      <c r="Y56" s="39">
        <v>74149</v>
      </c>
      <c r="Z56" s="39">
        <v>85649</v>
      </c>
      <c r="AA56" s="40">
        <v>97941</v>
      </c>
    </row>
    <row r="57" spans="1:27" x14ac:dyDescent="0.25">
      <c r="A57" s="3" t="s">
        <v>26</v>
      </c>
      <c r="B57" s="39">
        <v>12037</v>
      </c>
      <c r="C57" s="39">
        <v>17654</v>
      </c>
      <c r="D57" s="39">
        <v>24074</v>
      </c>
      <c r="E57" s="40">
        <v>31296</v>
      </c>
      <c r="F57" s="47"/>
      <c r="G57" s="39">
        <v>8074</v>
      </c>
      <c r="H57" s="39">
        <v>14532</v>
      </c>
      <c r="I57" s="39">
        <v>19377</v>
      </c>
      <c r="J57" s="40">
        <v>26239</v>
      </c>
      <c r="K57" s="47"/>
      <c r="L57" s="3" t="s">
        <v>26</v>
      </c>
      <c r="M57" s="39">
        <v>8074</v>
      </c>
      <c r="N57" s="39">
        <v>14532</v>
      </c>
      <c r="O57" s="39">
        <v>19377</v>
      </c>
      <c r="P57" s="40">
        <v>26239</v>
      </c>
      <c r="Q57" s="47"/>
      <c r="R57" s="39">
        <v>8113</v>
      </c>
      <c r="S57" s="39">
        <v>14603</v>
      </c>
      <c r="T57" s="39">
        <v>19471</v>
      </c>
      <c r="U57" s="40">
        <v>26367</v>
      </c>
      <c r="V57" s="47"/>
      <c r="W57" s="3" t="s">
        <v>26</v>
      </c>
      <c r="X57" s="39">
        <v>15861</v>
      </c>
      <c r="Y57" s="39">
        <v>21809</v>
      </c>
      <c r="Z57" s="39">
        <v>28550</v>
      </c>
      <c r="AA57" s="40">
        <v>36083</v>
      </c>
    </row>
    <row r="58" spans="1:27" x14ac:dyDescent="0.25">
      <c r="A58" s="3" t="s">
        <v>27</v>
      </c>
      <c r="B58" s="39">
        <v>16049</v>
      </c>
      <c r="C58" s="39">
        <v>22068</v>
      </c>
      <c r="D58" s="39">
        <v>28889</v>
      </c>
      <c r="E58" s="40">
        <v>36512</v>
      </c>
      <c r="F58" s="47"/>
      <c r="G58" s="39">
        <v>12110</v>
      </c>
      <c r="H58" s="39">
        <v>19377</v>
      </c>
      <c r="I58" s="39">
        <v>24221</v>
      </c>
      <c r="J58" s="40">
        <v>31487</v>
      </c>
      <c r="K58" s="47"/>
      <c r="L58" s="3" t="s">
        <v>27</v>
      </c>
      <c r="M58" s="39">
        <v>12110</v>
      </c>
      <c r="N58" s="39">
        <v>19377</v>
      </c>
      <c r="O58" s="39">
        <v>24221</v>
      </c>
      <c r="P58" s="40">
        <v>31487</v>
      </c>
      <c r="Q58" s="47"/>
      <c r="R58" s="39">
        <v>12169</v>
      </c>
      <c r="S58" s="39">
        <v>19471</v>
      </c>
      <c r="T58" s="39">
        <v>24338</v>
      </c>
      <c r="U58" s="40">
        <v>31640</v>
      </c>
      <c r="V58" s="47"/>
      <c r="W58" s="3" t="s">
        <v>27</v>
      </c>
      <c r="X58" s="39">
        <v>19826</v>
      </c>
      <c r="Y58" s="39">
        <v>26170</v>
      </c>
      <c r="Z58" s="39">
        <v>33308</v>
      </c>
      <c r="AA58" s="40">
        <v>41238</v>
      </c>
    </row>
    <row r="59" spans="1:27" x14ac:dyDescent="0.25">
      <c r="A59" s="3" t="s">
        <v>28</v>
      </c>
      <c r="B59" s="39">
        <v>96295</v>
      </c>
      <c r="C59" s="39">
        <v>110338</v>
      </c>
      <c r="D59" s="39">
        <v>125184</v>
      </c>
      <c r="E59" s="40">
        <v>140832</v>
      </c>
      <c r="F59" s="47"/>
      <c r="G59" s="39">
        <v>92846</v>
      </c>
      <c r="H59" s="39">
        <v>116259</v>
      </c>
      <c r="I59" s="39">
        <v>121103</v>
      </c>
      <c r="J59" s="40">
        <v>136443</v>
      </c>
      <c r="K59" s="47"/>
      <c r="L59" s="3" t="s">
        <v>28</v>
      </c>
      <c r="M59" s="39">
        <v>92846</v>
      </c>
      <c r="N59" s="39">
        <v>116259</v>
      </c>
      <c r="O59" s="39">
        <v>121103</v>
      </c>
      <c r="P59" s="40">
        <v>136443</v>
      </c>
      <c r="Q59" s="47"/>
      <c r="R59" s="39">
        <v>89241</v>
      </c>
      <c r="S59" s="39">
        <v>111956</v>
      </c>
      <c r="T59" s="39">
        <v>116824</v>
      </c>
      <c r="U59" s="40">
        <v>131833</v>
      </c>
      <c r="V59" s="47"/>
      <c r="W59" s="3" t="s">
        <v>28</v>
      </c>
      <c r="X59" s="39">
        <v>91200</v>
      </c>
      <c r="Y59" s="39">
        <v>104682</v>
      </c>
      <c r="Z59" s="39">
        <v>118956</v>
      </c>
      <c r="AA59" s="40">
        <v>134024</v>
      </c>
    </row>
    <row r="60" spans="1:27" x14ac:dyDescent="0.25">
      <c r="A60" s="3" t="s">
        <v>29</v>
      </c>
      <c r="B60" s="39">
        <v>84258</v>
      </c>
      <c r="C60" s="39">
        <v>97098</v>
      </c>
      <c r="D60" s="39">
        <v>110739</v>
      </c>
      <c r="E60" s="40">
        <v>125184</v>
      </c>
      <c r="F60" s="47"/>
      <c r="G60" s="39">
        <v>80736</v>
      </c>
      <c r="H60" s="39">
        <v>101727</v>
      </c>
      <c r="I60" s="39">
        <v>106571</v>
      </c>
      <c r="J60" s="40">
        <v>120700</v>
      </c>
      <c r="K60" s="47"/>
      <c r="L60" s="3" t="s">
        <v>29</v>
      </c>
      <c r="M60" s="39">
        <v>80736</v>
      </c>
      <c r="N60" s="39">
        <v>101727</v>
      </c>
      <c r="O60" s="39">
        <v>106571</v>
      </c>
      <c r="P60" s="40">
        <v>120700</v>
      </c>
      <c r="Q60" s="47"/>
      <c r="R60" s="39">
        <v>81128</v>
      </c>
      <c r="S60" s="39">
        <v>102221</v>
      </c>
      <c r="T60" s="39">
        <v>107089</v>
      </c>
      <c r="U60" s="40">
        <v>121286</v>
      </c>
      <c r="V60" s="47"/>
      <c r="W60" s="3" t="s">
        <v>29</v>
      </c>
      <c r="X60" s="39">
        <v>87235</v>
      </c>
      <c r="Y60" s="39">
        <v>100320</v>
      </c>
      <c r="Z60" s="39">
        <v>114198</v>
      </c>
      <c r="AA60" s="40">
        <v>128869</v>
      </c>
    </row>
    <row r="61" spans="1:27" x14ac:dyDescent="0.25">
      <c r="A61" s="3" t="s">
        <v>30</v>
      </c>
      <c r="B61" s="39">
        <v>12037</v>
      </c>
      <c r="C61" s="39">
        <v>17654</v>
      </c>
      <c r="D61" s="39">
        <v>24074</v>
      </c>
      <c r="E61" s="39">
        <v>31296</v>
      </c>
      <c r="F61" s="47"/>
      <c r="G61" s="39">
        <v>20184</v>
      </c>
      <c r="H61" s="39">
        <v>29065</v>
      </c>
      <c r="I61" s="39">
        <v>33909</v>
      </c>
      <c r="J61" s="39">
        <v>41983</v>
      </c>
      <c r="K61" s="47"/>
      <c r="L61" s="3" t="s">
        <v>30</v>
      </c>
      <c r="M61" s="39">
        <v>20184</v>
      </c>
      <c r="N61" s="39">
        <v>29065</v>
      </c>
      <c r="O61" s="39">
        <v>33909</v>
      </c>
      <c r="P61" s="39">
        <v>41983</v>
      </c>
      <c r="Q61" s="47"/>
      <c r="R61" s="39">
        <v>16226</v>
      </c>
      <c r="S61" s="39">
        <v>24338</v>
      </c>
      <c r="T61" s="39">
        <v>29206</v>
      </c>
      <c r="U61" s="39">
        <v>36913</v>
      </c>
      <c r="V61" s="47"/>
      <c r="W61" s="3" t="s">
        <v>30</v>
      </c>
      <c r="X61" s="39">
        <v>15861</v>
      </c>
      <c r="Y61" s="39">
        <v>21809</v>
      </c>
      <c r="Z61" s="39">
        <v>28550</v>
      </c>
      <c r="AA61" s="39">
        <v>36084</v>
      </c>
    </row>
    <row r="62" spans="1:27" x14ac:dyDescent="0.25">
      <c r="A62" s="17" t="s">
        <v>40</v>
      </c>
      <c r="B62" s="51">
        <v>8025</v>
      </c>
      <c r="C62" s="51">
        <v>13241</v>
      </c>
      <c r="D62" s="51">
        <v>19259</v>
      </c>
      <c r="E62" s="51">
        <v>26080</v>
      </c>
      <c r="F62" s="47"/>
      <c r="G62" s="51">
        <v>4037</v>
      </c>
      <c r="H62" s="51">
        <v>9688</v>
      </c>
      <c r="I62" s="51">
        <v>14532</v>
      </c>
      <c r="J62" s="51">
        <v>20991</v>
      </c>
      <c r="K62" s="47"/>
      <c r="L62" s="17" t="s">
        <v>40</v>
      </c>
      <c r="M62" s="51">
        <v>4037</v>
      </c>
      <c r="N62" s="51">
        <v>9688</v>
      </c>
      <c r="O62" s="51">
        <v>14532</v>
      </c>
      <c r="P62" s="51">
        <v>20991</v>
      </c>
      <c r="Q62" s="47"/>
      <c r="R62" s="51">
        <v>4056</v>
      </c>
      <c r="S62" s="51">
        <v>9735</v>
      </c>
      <c r="T62" s="51">
        <v>14603</v>
      </c>
      <c r="U62" s="51">
        <v>21093</v>
      </c>
      <c r="V62" s="47"/>
      <c r="W62" s="17" t="s">
        <v>40</v>
      </c>
      <c r="X62" s="51">
        <v>3965</v>
      </c>
      <c r="Y62" s="51">
        <v>8723</v>
      </c>
      <c r="Z62" s="51">
        <v>14274</v>
      </c>
      <c r="AA62" s="51">
        <v>20619</v>
      </c>
    </row>
    <row r="63" spans="1:27" s="32" customFormat="1" x14ac:dyDescent="0.25">
      <c r="A63" s="4" t="s">
        <v>31</v>
      </c>
      <c r="B63" s="45">
        <f>B51-B55</f>
        <v>192590</v>
      </c>
      <c r="C63" s="45">
        <f t="shared" ref="C63:E63" si="156">C51-C55</f>
        <v>194194</v>
      </c>
      <c r="D63" s="45">
        <f t="shared" si="156"/>
        <v>192591</v>
      </c>
      <c r="E63" s="45">
        <f t="shared" si="156"/>
        <v>187775</v>
      </c>
      <c r="F63" s="46"/>
      <c r="G63" s="45">
        <f>G51-G55</f>
        <v>201838</v>
      </c>
      <c r="H63" s="45">
        <f t="shared" ref="H63:J63" si="157">H51-H55</f>
        <v>222831</v>
      </c>
      <c r="I63" s="45">
        <f t="shared" si="157"/>
        <v>203454</v>
      </c>
      <c r="J63" s="45">
        <f t="shared" si="157"/>
        <v>199416</v>
      </c>
      <c r="K63" s="46"/>
      <c r="L63" s="4" t="s">
        <v>31</v>
      </c>
      <c r="M63" s="45">
        <f>M51-M55</f>
        <v>201838</v>
      </c>
      <c r="N63" s="45">
        <f t="shared" ref="N63:P63" si="158">N51-N55</f>
        <v>222831</v>
      </c>
      <c r="O63" s="45">
        <f t="shared" si="158"/>
        <v>203454</v>
      </c>
      <c r="P63" s="45">
        <f t="shared" si="158"/>
        <v>199416</v>
      </c>
      <c r="Q63" s="46"/>
      <c r="R63" s="45">
        <f>R51-R55</f>
        <v>210932</v>
      </c>
      <c r="S63" s="45">
        <f t="shared" ref="S63:U63" si="159">S51-S55</f>
        <v>233649</v>
      </c>
      <c r="T63" s="45">
        <f t="shared" si="159"/>
        <v>214177</v>
      </c>
      <c r="U63" s="45">
        <f t="shared" si="159"/>
        <v>210932</v>
      </c>
      <c r="V63" s="46"/>
      <c r="W63" s="4" t="s">
        <v>31</v>
      </c>
      <c r="X63" s="45">
        <f>X51-X55</f>
        <v>194295</v>
      </c>
      <c r="Y63" s="45">
        <f t="shared" ref="Y63:AA63" si="160">Y51-Y55</f>
        <v>196277</v>
      </c>
      <c r="Z63" s="45">
        <f t="shared" si="160"/>
        <v>195088</v>
      </c>
      <c r="AA63" s="45">
        <f t="shared" si="160"/>
        <v>190726</v>
      </c>
    </row>
    <row r="64" spans="1:27" x14ac:dyDescent="0.25">
      <c r="A64" s="18" t="s">
        <v>32</v>
      </c>
      <c r="B64" s="33">
        <v>52160</v>
      </c>
      <c r="C64" s="33">
        <v>61789</v>
      </c>
      <c r="D64" s="33">
        <v>72221</v>
      </c>
      <c r="E64" s="33">
        <v>83456</v>
      </c>
      <c r="F64" s="47"/>
      <c r="G64" s="33">
        <v>48441</v>
      </c>
      <c r="H64" s="33">
        <v>62974</v>
      </c>
      <c r="I64" s="33">
        <v>67818</v>
      </c>
      <c r="J64" s="33">
        <v>78717</v>
      </c>
      <c r="K64" s="47"/>
      <c r="L64" s="18" t="s">
        <v>32</v>
      </c>
      <c r="M64" s="33">
        <v>48441</v>
      </c>
      <c r="N64" s="33">
        <v>62974</v>
      </c>
      <c r="O64" s="33">
        <v>67818</v>
      </c>
      <c r="P64" s="33">
        <v>78717</v>
      </c>
      <c r="Q64" s="47"/>
      <c r="R64" s="33">
        <v>48677</v>
      </c>
      <c r="S64" s="33">
        <v>63280</v>
      </c>
      <c r="T64" s="33">
        <v>68147</v>
      </c>
      <c r="U64" s="33">
        <v>79100</v>
      </c>
      <c r="V64" s="47"/>
      <c r="W64" s="18" t="s">
        <v>32</v>
      </c>
      <c r="X64" s="33">
        <v>47583</v>
      </c>
      <c r="Y64" s="33">
        <v>56703</v>
      </c>
      <c r="Z64" s="33">
        <v>66616</v>
      </c>
      <c r="AA64" s="33">
        <v>77322</v>
      </c>
    </row>
    <row r="65" spans="1:27" x14ac:dyDescent="0.25">
      <c r="A65" s="19" t="s">
        <v>33</v>
      </c>
      <c r="B65" s="35">
        <v>32098</v>
      </c>
      <c r="C65" s="35">
        <v>39722</v>
      </c>
      <c r="D65" s="35">
        <v>48148</v>
      </c>
      <c r="E65" s="35">
        <v>57376</v>
      </c>
      <c r="F65" s="47"/>
      <c r="G65" s="35">
        <v>28257</v>
      </c>
      <c r="H65" s="35">
        <v>38753</v>
      </c>
      <c r="I65" s="35">
        <v>43597</v>
      </c>
      <c r="J65" s="35">
        <v>52478</v>
      </c>
      <c r="K65" s="47"/>
      <c r="L65" s="19" t="s">
        <v>33</v>
      </c>
      <c r="M65" s="35">
        <v>28257</v>
      </c>
      <c r="N65" s="35">
        <v>38753</v>
      </c>
      <c r="O65" s="35">
        <v>43597</v>
      </c>
      <c r="P65" s="35">
        <v>52478</v>
      </c>
      <c r="Q65" s="47"/>
      <c r="R65" s="35">
        <v>28395</v>
      </c>
      <c r="S65" s="35">
        <v>38941</v>
      </c>
      <c r="T65" s="35">
        <v>43809</v>
      </c>
      <c r="U65" s="35">
        <v>52733</v>
      </c>
      <c r="V65" s="47"/>
      <c r="W65" s="19" t="s">
        <v>33</v>
      </c>
      <c r="X65" s="35">
        <v>27756</v>
      </c>
      <c r="Y65" s="35">
        <v>34894</v>
      </c>
      <c r="Z65" s="35">
        <v>42824</v>
      </c>
      <c r="AA65" s="35">
        <v>51548</v>
      </c>
    </row>
    <row r="66" spans="1:27" x14ac:dyDescent="0.25">
      <c r="A66" s="20" t="s">
        <v>34</v>
      </c>
      <c r="B66" s="52">
        <v>85061</v>
      </c>
      <c r="C66" s="52">
        <v>86505</v>
      </c>
      <c r="D66" s="52">
        <v>86666</v>
      </c>
      <c r="E66" s="53">
        <v>85542</v>
      </c>
      <c r="F66" s="47"/>
      <c r="G66" s="52">
        <v>66607</v>
      </c>
      <c r="H66" s="52">
        <v>74115</v>
      </c>
      <c r="I66" s="52">
        <v>68302</v>
      </c>
      <c r="J66" s="53">
        <v>67697</v>
      </c>
      <c r="K66" s="47"/>
      <c r="L66" s="20" t="s">
        <v>34</v>
      </c>
      <c r="M66" s="52">
        <v>66607</v>
      </c>
      <c r="N66" s="52">
        <v>74115</v>
      </c>
      <c r="O66" s="52">
        <v>68302</v>
      </c>
      <c r="P66" s="53">
        <v>67697</v>
      </c>
      <c r="Q66" s="47"/>
      <c r="R66" s="52">
        <v>69364</v>
      </c>
      <c r="S66" s="52">
        <v>77396</v>
      </c>
      <c r="T66" s="52">
        <v>71555</v>
      </c>
      <c r="U66" s="53">
        <v>71190</v>
      </c>
      <c r="V66" s="47"/>
      <c r="W66" s="20" t="s">
        <v>34</v>
      </c>
      <c r="X66" s="52">
        <v>107061</v>
      </c>
      <c r="Y66" s="52">
        <v>109043</v>
      </c>
      <c r="Z66" s="52">
        <v>109440</v>
      </c>
      <c r="AA66" s="53">
        <v>108250</v>
      </c>
    </row>
    <row r="67" spans="1:27" s="32" customFormat="1" x14ac:dyDescent="0.25">
      <c r="A67" s="4" t="s">
        <v>35</v>
      </c>
      <c r="B67" s="45">
        <f>B63+B64-B65-B66</f>
        <v>127591</v>
      </c>
      <c r="C67" s="45">
        <f t="shared" ref="C67:E67" si="161">C63+C64-C65-C66</f>
        <v>129756</v>
      </c>
      <c r="D67" s="45">
        <f t="shared" si="161"/>
        <v>129998</v>
      </c>
      <c r="E67" s="45">
        <f t="shared" si="161"/>
        <v>128313</v>
      </c>
      <c r="F67" s="46"/>
      <c r="G67" s="45">
        <f>G63+G64-G65-G66</f>
        <v>155415</v>
      </c>
      <c r="H67" s="45">
        <f t="shared" ref="H67" si="162">H63+H64-H65-H66</f>
        <v>172937</v>
      </c>
      <c r="I67" s="45">
        <f t="shared" ref="I67" si="163">I63+I64-I65-I66</f>
        <v>159373</v>
      </c>
      <c r="J67" s="45">
        <f t="shared" ref="J67" si="164">J63+J64-J65-J66</f>
        <v>157958</v>
      </c>
      <c r="K67" s="46"/>
      <c r="L67" s="4" t="s">
        <v>35</v>
      </c>
      <c r="M67" s="45">
        <f>M63+M64-M65-M66</f>
        <v>155415</v>
      </c>
      <c r="N67" s="45">
        <f t="shared" ref="N67" si="165">N63+N64-N65-N66</f>
        <v>172937</v>
      </c>
      <c r="O67" s="45">
        <f t="shared" ref="O67" si="166">O63+O64-O65-O66</f>
        <v>159373</v>
      </c>
      <c r="P67" s="45">
        <f t="shared" ref="P67" si="167">P63+P64-P65-P66</f>
        <v>157958</v>
      </c>
      <c r="Q67" s="46"/>
      <c r="R67" s="45">
        <f>R63+R64-R65-R66</f>
        <v>161850</v>
      </c>
      <c r="S67" s="45">
        <f t="shared" ref="S67" si="168">S63+S64-S65-S66</f>
        <v>180592</v>
      </c>
      <c r="T67" s="45">
        <f t="shared" ref="T67" si="169">T63+T64-T65-T66</f>
        <v>166960</v>
      </c>
      <c r="U67" s="45">
        <f t="shared" ref="U67" si="170">U63+U64-U65-U66</f>
        <v>166109</v>
      </c>
      <c r="V67" s="46"/>
      <c r="W67" s="4" t="s">
        <v>35</v>
      </c>
      <c r="X67" s="45">
        <f>X63+X64-X65-X66</f>
        <v>107061</v>
      </c>
      <c r="Y67" s="45">
        <f t="shared" ref="Y67" si="171">Y63+Y64-Y65-Y66</f>
        <v>109043</v>
      </c>
      <c r="Z67" s="45">
        <f t="shared" ref="Z67" si="172">Z63+Z64-Z65-Z66</f>
        <v>109440</v>
      </c>
      <c r="AA67" s="45">
        <f t="shared" ref="AA67" si="173">AA63+AA64-AA65-AA66</f>
        <v>108250</v>
      </c>
    </row>
    <row r="68" spans="1:27" s="32" customFormat="1" ht="12" customHeight="1" x14ac:dyDescent="0.25">
      <c r="A68" s="13"/>
      <c r="B68" s="46"/>
      <c r="C68" s="46"/>
      <c r="D68" s="46"/>
      <c r="E68" s="46"/>
      <c r="F68" s="46"/>
      <c r="K68" s="46"/>
      <c r="L68" s="13"/>
      <c r="Q68" s="46"/>
      <c r="V68" s="46"/>
      <c r="W68" s="13"/>
    </row>
    <row r="69" spans="1:27" s="34" customFormat="1" x14ac:dyDescent="0.25">
      <c r="A69" s="13"/>
      <c r="B69" s="54">
        <v>2013</v>
      </c>
      <c r="C69" s="65">
        <v>2012</v>
      </c>
      <c r="D69" s="74">
        <v>2011</v>
      </c>
      <c r="E69" s="65">
        <v>2010</v>
      </c>
      <c r="F69" s="46"/>
      <c r="G69" s="54">
        <v>2013</v>
      </c>
      <c r="H69" s="65">
        <v>2012</v>
      </c>
      <c r="I69" s="74">
        <v>2011</v>
      </c>
      <c r="J69" s="65">
        <v>2010</v>
      </c>
      <c r="K69" s="46"/>
      <c r="L69" s="13"/>
      <c r="M69" s="54">
        <v>2013</v>
      </c>
      <c r="N69" s="65">
        <v>2012</v>
      </c>
      <c r="O69" s="74">
        <v>2011</v>
      </c>
      <c r="P69" s="65">
        <v>2010</v>
      </c>
      <c r="Q69" s="46"/>
      <c r="R69" s="54">
        <v>2013</v>
      </c>
      <c r="S69" s="65">
        <v>2012</v>
      </c>
      <c r="T69" s="74">
        <v>2011</v>
      </c>
      <c r="U69" s="65">
        <v>2010</v>
      </c>
      <c r="V69" s="46"/>
      <c r="W69" s="13"/>
      <c r="X69" s="54">
        <v>2013</v>
      </c>
      <c r="Y69" s="65">
        <v>2012</v>
      </c>
      <c r="Z69" s="74">
        <v>2011</v>
      </c>
      <c r="AA69" s="65">
        <v>2010</v>
      </c>
    </row>
    <row r="70" spans="1:27" x14ac:dyDescent="0.25">
      <c r="A70" s="18" t="s">
        <v>125</v>
      </c>
      <c r="B70" s="55">
        <f>B3+B4-B9+B18+B20+B22+B26</f>
        <v>585363</v>
      </c>
      <c r="C70" s="33">
        <f t="shared" ref="C70:E70" si="174">C3+C4-C9+C18+C20+C22+C26</f>
        <v>699026</v>
      </c>
      <c r="D70" s="75">
        <f t="shared" si="174"/>
        <v>810183</v>
      </c>
      <c r="E70" s="33">
        <f t="shared" si="174"/>
        <v>915260</v>
      </c>
      <c r="G70" s="55">
        <f>G3+G4-G9+G18+G20+G22+G26</f>
        <v>614581</v>
      </c>
      <c r="H70" s="33">
        <f t="shared" ref="H70:J70" si="175">H3+H4-H9+H18+H20+H22+H26</f>
        <v>803230</v>
      </c>
      <c r="I70" s="75">
        <f t="shared" si="175"/>
        <v>863561</v>
      </c>
      <c r="J70" s="33">
        <f t="shared" si="175"/>
        <v>982905</v>
      </c>
      <c r="L70" s="18" t="s">
        <v>125</v>
      </c>
      <c r="M70" s="55">
        <f>M3+M4-M9+M18+M20+M22+M26</f>
        <v>604787</v>
      </c>
      <c r="N70" s="33">
        <f t="shared" ref="N70:P70" si="176">N3+N4-N9+N18+N20+N22+N26</f>
        <v>791471</v>
      </c>
      <c r="O70" s="75">
        <f t="shared" si="176"/>
        <v>851918</v>
      </c>
      <c r="P70" s="33">
        <f t="shared" si="176"/>
        <v>970565</v>
      </c>
      <c r="R70" s="55">
        <f>R3+R4-R9+R18+R20+R22+R26</f>
        <v>696047</v>
      </c>
      <c r="S70" s="33">
        <f t="shared" ref="S70:U70" si="177">S3+S4-S9+S18+S20+S22+S26</f>
        <v>907368</v>
      </c>
      <c r="T70" s="75">
        <f t="shared" si="177"/>
        <v>973921</v>
      </c>
      <c r="U70" s="33">
        <f t="shared" si="177"/>
        <v>1108607</v>
      </c>
      <c r="W70" s="18" t="s">
        <v>125</v>
      </c>
      <c r="X70" s="55">
        <f>X3+X4-X9+X18+X20+X22+X26</f>
        <v>472355.88392884767</v>
      </c>
      <c r="Y70" s="33">
        <f t="shared" ref="Y70:AA70" si="178">Y3+Y4-Y9+Y18+Y20+Y22+Y26</f>
        <v>581282</v>
      </c>
      <c r="Z70" s="75">
        <f t="shared" si="178"/>
        <v>678933</v>
      </c>
      <c r="AA70" s="33">
        <f t="shared" si="178"/>
        <v>772009</v>
      </c>
    </row>
    <row r="71" spans="1:27" x14ac:dyDescent="0.25">
      <c r="A71" s="9" t="s">
        <v>126</v>
      </c>
      <c r="B71" s="43">
        <f>B28-B70</f>
        <v>933482</v>
      </c>
      <c r="C71" s="39">
        <f t="shared" ref="C71:E71" si="179">C28-C70</f>
        <v>974847</v>
      </c>
      <c r="D71" s="76">
        <f t="shared" si="179"/>
        <v>1001477</v>
      </c>
      <c r="E71" s="39">
        <f t="shared" si="179"/>
        <v>1010980</v>
      </c>
      <c r="G71" s="43">
        <f>G28-G70</f>
        <v>1126232</v>
      </c>
      <c r="H71" s="39">
        <f t="shared" ref="H71" si="180">H28-H70</f>
        <v>1301049</v>
      </c>
      <c r="I71" s="76">
        <f t="shared" ref="I71" si="181">I28-I70</f>
        <v>1236169</v>
      </c>
      <c r="J71" s="39">
        <f t="shared" ref="J71" si="182">J28-J70</f>
        <v>1263588</v>
      </c>
      <c r="L71" s="9" t="s">
        <v>126</v>
      </c>
      <c r="M71" s="43">
        <f>M28-M70</f>
        <v>1139604</v>
      </c>
      <c r="N71" s="39">
        <f t="shared" ref="N71" si="183">N28-N70</f>
        <v>1316962</v>
      </c>
      <c r="O71" s="76">
        <f t="shared" ref="O71" si="184">O28-O70</f>
        <v>1251793</v>
      </c>
      <c r="P71" s="39">
        <f t="shared" ref="P71" si="185">P28-P70</f>
        <v>1280040</v>
      </c>
      <c r="R71" s="43">
        <f>R28-R70</f>
        <v>1128001</v>
      </c>
      <c r="S71" s="39">
        <f t="shared" ref="S71" si="186">S28-S70</f>
        <v>1303061</v>
      </c>
      <c r="T71" s="76">
        <f t="shared" ref="T71" si="187">T28-T70</f>
        <v>1238312</v>
      </c>
      <c r="U71" s="39">
        <f t="shared" ref="U71" si="188">U28-U70</f>
        <v>1266754</v>
      </c>
      <c r="W71" s="9" t="s">
        <v>126</v>
      </c>
      <c r="X71" s="43">
        <f>X28-X70</f>
        <v>746531.11607115227</v>
      </c>
      <c r="Y71" s="39">
        <f t="shared" ref="Y71" si="189">Y28-Y70</f>
        <v>766494</v>
      </c>
      <c r="Z71" s="76">
        <f t="shared" ref="Z71" si="190">Z28-Z70</f>
        <v>784825</v>
      </c>
      <c r="AA71" s="39">
        <f t="shared" ref="AA71" si="191">AA28-AA70</f>
        <v>790041</v>
      </c>
    </row>
    <row r="72" spans="1:27" x14ac:dyDescent="0.25">
      <c r="A72" s="9" t="s">
        <v>127</v>
      </c>
      <c r="B72" s="43">
        <f>B12</f>
        <v>477726</v>
      </c>
      <c r="C72" s="39">
        <f t="shared" ref="C72:E72" si="192">C12</f>
        <v>409517</v>
      </c>
      <c r="D72" s="76">
        <f t="shared" si="192"/>
        <v>321247</v>
      </c>
      <c r="E72" s="39">
        <f t="shared" si="192"/>
        <v>210507</v>
      </c>
      <c r="G72" s="43">
        <f>G12</f>
        <v>503004</v>
      </c>
      <c r="H72" s="39">
        <f t="shared" ref="H72:J72" si="193">H12</f>
        <v>430342</v>
      </c>
      <c r="I72" s="76">
        <f t="shared" si="193"/>
        <v>328615</v>
      </c>
      <c r="J72" s="39">
        <f t="shared" si="193"/>
        <v>212356</v>
      </c>
      <c r="L72" s="9" t="s">
        <v>127</v>
      </c>
      <c r="M72" s="43">
        <f>M12</f>
        <v>503004</v>
      </c>
      <c r="N72" s="39">
        <f t="shared" ref="N72:P72" si="194">N12</f>
        <v>430342</v>
      </c>
      <c r="O72" s="76">
        <f t="shared" si="194"/>
        <v>328615</v>
      </c>
      <c r="P72" s="39">
        <f t="shared" si="194"/>
        <v>212356</v>
      </c>
      <c r="R72" s="43">
        <f>R12</f>
        <v>483922</v>
      </c>
      <c r="S72" s="39">
        <f t="shared" ref="S72:U72" si="195">S12</f>
        <v>414963</v>
      </c>
      <c r="T72" s="76">
        <f t="shared" si="195"/>
        <v>317610</v>
      </c>
      <c r="U72" s="39">
        <f t="shared" si="195"/>
        <v>205654</v>
      </c>
      <c r="W72" s="9" t="s">
        <v>127</v>
      </c>
      <c r="X72" s="43">
        <f>X12</f>
        <v>507408</v>
      </c>
      <c r="Y72" s="39">
        <f t="shared" ref="Y72:AA72" si="196">Y12</f>
        <v>432069</v>
      </c>
      <c r="Z72" s="76">
        <f t="shared" si="196"/>
        <v>336111</v>
      </c>
      <c r="AA72" s="39">
        <f t="shared" si="196"/>
        <v>217154</v>
      </c>
    </row>
    <row r="73" spans="1:27" x14ac:dyDescent="0.25">
      <c r="A73" s="9" t="s">
        <v>128</v>
      </c>
      <c r="B73" s="43">
        <f>B71-B72-B74</f>
        <v>356321</v>
      </c>
      <c r="C73" s="39">
        <f t="shared" ref="C73:E73" si="197">C71-C72-C74</f>
        <v>351496</v>
      </c>
      <c r="D73" s="76">
        <f t="shared" si="197"/>
        <v>340583</v>
      </c>
      <c r="E73" s="39">
        <f t="shared" si="197"/>
        <v>322927</v>
      </c>
      <c r="G73" s="43">
        <f>G71-G72-G74</f>
        <v>436869</v>
      </c>
      <c r="H73" s="39">
        <f t="shared" ref="H73" si="198">H71-H72-H74</f>
        <v>481642</v>
      </c>
      <c r="I73" s="76">
        <f t="shared" ref="I73" si="199">I71-I72-I74</f>
        <v>432394</v>
      </c>
      <c r="J73" s="39">
        <f t="shared" ref="J73" si="200">J71-J72-J74</f>
        <v>418456</v>
      </c>
      <c r="L73" s="9" t="s">
        <v>128</v>
      </c>
      <c r="M73" s="43">
        <f>M71-M72-M74</f>
        <v>460339</v>
      </c>
      <c r="N73" s="39">
        <f t="shared" ref="N73" si="201">N71-N72-N74</f>
        <v>509855</v>
      </c>
      <c r="O73" s="76">
        <f t="shared" ref="O73" si="202">O71-O72-O74</f>
        <v>460377</v>
      </c>
      <c r="P73" s="39">
        <f t="shared" ref="P73" si="203">P71-P72-P74</f>
        <v>448217</v>
      </c>
      <c r="R73" s="43">
        <f>R71-R72-R74</f>
        <v>555980</v>
      </c>
      <c r="S73" s="39">
        <f t="shared" ref="S73" si="204">S71-S72-S74</f>
        <v>622250</v>
      </c>
      <c r="T73" s="76">
        <f t="shared" ref="T73" si="205">T71-T72-T74</f>
        <v>569333</v>
      </c>
      <c r="U73" s="39">
        <f t="shared" ref="U73" si="206">U71-U72-U74</f>
        <v>561747</v>
      </c>
      <c r="W73" s="9" t="s">
        <v>128</v>
      </c>
      <c r="X73" s="43">
        <f>X71-X72-X74</f>
        <v>239123.11607115227</v>
      </c>
      <c r="Y73" s="39">
        <f t="shared" ref="Y73" si="207">Y71-Y72-Y74</f>
        <v>267817</v>
      </c>
      <c r="Z73" s="76">
        <f t="shared" ref="Z73" si="208">Z71-Z72-Z74</f>
        <v>254067</v>
      </c>
      <c r="AA73" s="39">
        <f t="shared" ref="AA73" si="209">AA71-AA72-AA74</f>
        <v>235201</v>
      </c>
    </row>
    <row r="74" spans="1:27" x14ac:dyDescent="0.25">
      <c r="A74" s="9" t="s">
        <v>129</v>
      </c>
      <c r="B74" s="43">
        <f>B24</f>
        <v>99435</v>
      </c>
      <c r="C74" s="39">
        <f t="shared" ref="C74:E74" si="210">C24</f>
        <v>213834</v>
      </c>
      <c r="D74" s="76">
        <f t="shared" si="210"/>
        <v>339647</v>
      </c>
      <c r="E74" s="39">
        <f t="shared" si="210"/>
        <v>477546</v>
      </c>
      <c r="G74" s="43">
        <f>G24</f>
        <v>186359</v>
      </c>
      <c r="H74" s="39">
        <f t="shared" ref="H74:J74" si="211">H24</f>
        <v>389065</v>
      </c>
      <c r="I74" s="76">
        <f t="shared" si="211"/>
        <v>475160</v>
      </c>
      <c r="J74" s="39">
        <f t="shared" si="211"/>
        <v>632776</v>
      </c>
      <c r="L74" s="9" t="s">
        <v>129</v>
      </c>
      <c r="M74" s="43">
        <f>M24</f>
        <v>176261</v>
      </c>
      <c r="N74" s="39">
        <f t="shared" ref="N74:P74" si="212">N24</f>
        <v>376765</v>
      </c>
      <c r="O74" s="76">
        <f t="shared" si="212"/>
        <v>462801</v>
      </c>
      <c r="P74" s="39">
        <f t="shared" si="212"/>
        <v>619467</v>
      </c>
      <c r="R74" s="43">
        <f>R24</f>
        <v>88099</v>
      </c>
      <c r="S74" s="39">
        <f t="shared" ref="S74:U74" si="213">S24</f>
        <v>265848</v>
      </c>
      <c r="T74" s="76">
        <f t="shared" si="213"/>
        <v>351369</v>
      </c>
      <c r="U74" s="39">
        <f t="shared" si="213"/>
        <v>499353</v>
      </c>
      <c r="W74" s="9" t="s">
        <v>129</v>
      </c>
      <c r="X74" s="43">
        <f>X24</f>
        <v>0</v>
      </c>
      <c r="Y74" s="39">
        <f t="shared" ref="Y74:AA74" si="214">Y24</f>
        <v>66608</v>
      </c>
      <c r="Z74" s="76">
        <f t="shared" si="214"/>
        <v>194647</v>
      </c>
      <c r="AA74" s="39">
        <f t="shared" si="214"/>
        <v>337686</v>
      </c>
    </row>
    <row r="75" spans="1:27" x14ac:dyDescent="0.25">
      <c r="A75" s="9" t="s">
        <v>130</v>
      </c>
      <c r="B75" s="43">
        <f>B70+B71</f>
        <v>1518845</v>
      </c>
      <c r="C75" s="39">
        <f t="shared" ref="C75:E75" si="215">C70+C71</f>
        <v>1673873</v>
      </c>
      <c r="D75" s="76">
        <f t="shared" si="215"/>
        <v>1811660</v>
      </c>
      <c r="E75" s="39">
        <f t="shared" si="215"/>
        <v>1926240</v>
      </c>
      <c r="G75" s="43">
        <f>G70+G71</f>
        <v>1740813</v>
      </c>
      <c r="H75" s="39">
        <f t="shared" ref="H75:J75" si="216">H70+H71</f>
        <v>2104279</v>
      </c>
      <c r="I75" s="76">
        <f t="shared" si="216"/>
        <v>2099730</v>
      </c>
      <c r="J75" s="39">
        <f t="shared" si="216"/>
        <v>2246493</v>
      </c>
      <c r="L75" s="9" t="s">
        <v>130</v>
      </c>
      <c r="M75" s="43">
        <f>M70+M71</f>
        <v>1744391</v>
      </c>
      <c r="N75" s="39">
        <f t="shared" ref="N75:P75" si="217">N70+N71</f>
        <v>2108433</v>
      </c>
      <c r="O75" s="76">
        <f t="shared" si="217"/>
        <v>2103711</v>
      </c>
      <c r="P75" s="39">
        <f t="shared" si="217"/>
        <v>2250605</v>
      </c>
      <c r="R75" s="43">
        <f>R70+R71</f>
        <v>1824048</v>
      </c>
      <c r="S75" s="39">
        <f t="shared" ref="S75:U75" si="218">S70+S71</f>
        <v>2210429</v>
      </c>
      <c r="T75" s="76">
        <f t="shared" si="218"/>
        <v>2212233</v>
      </c>
      <c r="U75" s="39">
        <f t="shared" si="218"/>
        <v>2375361</v>
      </c>
      <c r="W75" s="9" t="s">
        <v>130</v>
      </c>
      <c r="X75" s="43">
        <f>X70+X71</f>
        <v>1218887</v>
      </c>
      <c r="Y75" s="39">
        <f t="shared" ref="Y75:AA75" si="219">Y70+Y71</f>
        <v>1347776</v>
      </c>
      <c r="Z75" s="76">
        <f t="shared" si="219"/>
        <v>1463758</v>
      </c>
      <c r="AA75" s="39">
        <f t="shared" si="219"/>
        <v>1562050</v>
      </c>
    </row>
    <row r="76" spans="1:27" x14ac:dyDescent="0.25">
      <c r="A76" s="9" t="s">
        <v>131</v>
      </c>
      <c r="B76" s="43">
        <f>B31</f>
        <v>632852</v>
      </c>
      <c r="C76" s="39">
        <f t="shared" ref="C76:E76" si="220">C31</f>
        <v>669548</v>
      </c>
      <c r="D76" s="76">
        <f t="shared" si="220"/>
        <v>696792</v>
      </c>
      <c r="E76" s="39">
        <f t="shared" si="220"/>
        <v>713422</v>
      </c>
      <c r="G76" s="43">
        <f>G31</f>
        <v>756875</v>
      </c>
      <c r="H76" s="39">
        <f t="shared" ref="H76:J76" si="221">H31</f>
        <v>876786</v>
      </c>
      <c r="I76" s="76">
        <f t="shared" si="221"/>
        <v>839892</v>
      </c>
      <c r="J76" s="39">
        <f t="shared" si="221"/>
        <v>864035</v>
      </c>
      <c r="L76" s="9" t="s">
        <v>131</v>
      </c>
      <c r="M76" s="43">
        <f>M31</f>
        <v>758429</v>
      </c>
      <c r="N76" s="39">
        <f t="shared" ref="N76:P76" si="222">N31</f>
        <v>878515</v>
      </c>
      <c r="O76" s="76">
        <f t="shared" si="222"/>
        <v>841486</v>
      </c>
      <c r="P76" s="39">
        <f t="shared" si="222"/>
        <v>865615</v>
      </c>
      <c r="R76" s="43">
        <f>R31</f>
        <v>793065</v>
      </c>
      <c r="S76" s="39">
        <f t="shared" ref="S76:U76" si="223">S31</f>
        <v>921013</v>
      </c>
      <c r="T76" s="76">
        <f t="shared" si="223"/>
        <v>884892</v>
      </c>
      <c r="U76" s="39">
        <f t="shared" si="223"/>
        <v>913600</v>
      </c>
      <c r="W76" s="9" t="s">
        <v>131</v>
      </c>
      <c r="X76" s="43">
        <f>X31</f>
        <v>529951</v>
      </c>
      <c r="Y76" s="39">
        <f t="shared" ref="Y76:AA76" si="224">Y31</f>
        <v>561572</v>
      </c>
      <c r="Z76" s="76">
        <f t="shared" si="224"/>
        <v>585503</v>
      </c>
      <c r="AA76" s="39">
        <f t="shared" si="224"/>
        <v>600788</v>
      </c>
    </row>
    <row r="77" spans="1:27" x14ac:dyDescent="0.25">
      <c r="A77" s="9" t="s">
        <v>132</v>
      </c>
      <c r="B77" s="43">
        <f>B37+B40+B42+B44+B46</f>
        <v>404104</v>
      </c>
      <c r="C77" s="43">
        <f t="shared" ref="C77:E77" si="225">C37+C40+C42+C44+C46</f>
        <v>423689</v>
      </c>
      <c r="D77" s="43">
        <f t="shared" si="225"/>
        <v>437780</v>
      </c>
      <c r="E77" s="43">
        <f t="shared" si="225"/>
        <v>453601</v>
      </c>
      <c r="G77" s="43">
        <f t="shared" ref="G77:J77" si="226">G37+G40+G42+G44+G46</f>
        <v>455694</v>
      </c>
      <c r="H77" s="43">
        <f t="shared" si="226"/>
        <v>516013</v>
      </c>
      <c r="I77" s="43">
        <f t="shared" si="226"/>
        <v>502445</v>
      </c>
      <c r="J77" s="43">
        <f t="shared" si="226"/>
        <v>525939</v>
      </c>
      <c r="L77" s="9" t="s">
        <v>132</v>
      </c>
      <c r="M77" s="43">
        <f t="shared" ref="M77:P77" si="227">M37+M40+M42+M44+M46</f>
        <v>456571</v>
      </c>
      <c r="N77" s="43">
        <f t="shared" si="227"/>
        <v>516989</v>
      </c>
      <c r="O77" s="43">
        <f t="shared" si="227"/>
        <v>503377</v>
      </c>
      <c r="P77" s="43">
        <f t="shared" si="227"/>
        <v>526901</v>
      </c>
      <c r="R77" s="43">
        <f t="shared" ref="R77:U77" si="228">R37+R40+R42+R44+R46</f>
        <v>476721</v>
      </c>
      <c r="S77" s="43">
        <f t="shared" si="228"/>
        <v>541482</v>
      </c>
      <c r="T77" s="43">
        <f t="shared" si="228"/>
        <v>529061</v>
      </c>
      <c r="U77" s="43">
        <f t="shared" si="228"/>
        <v>556109</v>
      </c>
      <c r="W77" s="9" t="s">
        <v>132</v>
      </c>
      <c r="X77" s="43">
        <f t="shared" ref="X77:AA77" si="229">X37+X40+X42+X44+X46</f>
        <v>310760</v>
      </c>
      <c r="Y77" s="43">
        <f t="shared" si="229"/>
        <v>326374</v>
      </c>
      <c r="Z77" s="43">
        <f t="shared" si="229"/>
        <v>337790</v>
      </c>
      <c r="AA77" s="43">
        <f t="shared" si="229"/>
        <v>350704</v>
      </c>
    </row>
    <row r="78" spans="1:27" x14ac:dyDescent="0.25">
      <c r="A78" s="9" t="s">
        <v>133</v>
      </c>
      <c r="B78" s="43">
        <f>B48-B76-B77</f>
        <v>481889</v>
      </c>
      <c r="C78" s="39">
        <f t="shared" ref="C78:E78" si="230">C48-C76-C77</f>
        <v>580636</v>
      </c>
      <c r="D78" s="76">
        <f t="shared" si="230"/>
        <v>677088</v>
      </c>
      <c r="E78" s="39">
        <f t="shared" si="230"/>
        <v>759217</v>
      </c>
      <c r="G78" s="43">
        <f>G48-G76-G77</f>
        <v>528244</v>
      </c>
      <c r="H78" s="39">
        <f t="shared" ref="H78" si="231">H48-H76-H77</f>
        <v>711480</v>
      </c>
      <c r="I78" s="76">
        <f t="shared" ref="I78" si="232">I48-I76-I77</f>
        <v>757393</v>
      </c>
      <c r="J78" s="39">
        <f t="shared" ref="J78" si="233">J48-J76-J77</f>
        <v>856519</v>
      </c>
      <c r="L78" s="9" t="s">
        <v>133</v>
      </c>
      <c r="M78" s="43">
        <f>M48-M76-M77</f>
        <v>529391</v>
      </c>
      <c r="N78" s="39">
        <f t="shared" ref="N78" si="234">N48-N76-N77</f>
        <v>712929</v>
      </c>
      <c r="O78" s="76">
        <f t="shared" ref="O78" si="235">O48-O76-O77</f>
        <v>758848</v>
      </c>
      <c r="P78" s="39">
        <f t="shared" ref="P78" si="236">P48-P76-P77</f>
        <v>858089</v>
      </c>
      <c r="R78" s="43">
        <f>R48-R76-R77</f>
        <v>554262</v>
      </c>
      <c r="S78" s="39">
        <f t="shared" ref="S78" si="237">S48-S76-S77</f>
        <v>747934</v>
      </c>
      <c r="T78" s="76">
        <f t="shared" ref="T78" si="238">T48-T76-T77</f>
        <v>798280</v>
      </c>
      <c r="U78" s="39">
        <f t="shared" ref="U78" si="239">U48-U76-U77</f>
        <v>905652</v>
      </c>
      <c r="W78" s="9" t="s">
        <v>133</v>
      </c>
      <c r="X78" s="43">
        <f>X48-X76-X77</f>
        <v>378176</v>
      </c>
      <c r="Y78" s="39">
        <f t="shared" ref="Y78" si="240">Y48-Y76-Y77</f>
        <v>459830</v>
      </c>
      <c r="Z78" s="76">
        <f t="shared" ref="Z78" si="241">Z48-Z76-Z77</f>
        <v>540465</v>
      </c>
      <c r="AA78" s="39">
        <f t="shared" ref="AA78" si="242">AA48-AA76-AA77</f>
        <v>610558</v>
      </c>
    </row>
    <row r="79" spans="1:27" x14ac:dyDescent="0.25">
      <c r="A79" s="9" t="s">
        <v>134</v>
      </c>
      <c r="B79" s="43">
        <f>B76+B77</f>
        <v>1036956</v>
      </c>
      <c r="C79" s="39">
        <f t="shared" ref="C79:E79" si="243">C76+C77</f>
        <v>1093237</v>
      </c>
      <c r="D79" s="76">
        <f t="shared" si="243"/>
        <v>1134572</v>
      </c>
      <c r="E79" s="39">
        <f t="shared" si="243"/>
        <v>1167023</v>
      </c>
      <c r="G79" s="43">
        <f>G76+G77</f>
        <v>1212569</v>
      </c>
      <c r="H79" s="39">
        <f t="shared" ref="H79:J79" si="244">H76+H77</f>
        <v>1392799</v>
      </c>
      <c r="I79" s="76">
        <f t="shared" si="244"/>
        <v>1342337</v>
      </c>
      <c r="J79" s="39">
        <f t="shared" si="244"/>
        <v>1389974</v>
      </c>
      <c r="L79" s="9" t="s">
        <v>134</v>
      </c>
      <c r="M79" s="43">
        <f>M76+M77</f>
        <v>1215000</v>
      </c>
      <c r="N79" s="39">
        <f t="shared" ref="N79:P79" si="245">N76+N77</f>
        <v>1395504</v>
      </c>
      <c r="O79" s="76">
        <f t="shared" si="245"/>
        <v>1344863</v>
      </c>
      <c r="P79" s="39">
        <f t="shared" si="245"/>
        <v>1392516</v>
      </c>
      <c r="R79" s="43">
        <f>R76+R77</f>
        <v>1269786</v>
      </c>
      <c r="S79" s="39">
        <f t="shared" ref="S79:U79" si="246">S76+S77</f>
        <v>1462495</v>
      </c>
      <c r="T79" s="76">
        <f t="shared" si="246"/>
        <v>1413953</v>
      </c>
      <c r="U79" s="39">
        <f t="shared" si="246"/>
        <v>1469709</v>
      </c>
      <c r="W79" s="9" t="s">
        <v>134</v>
      </c>
      <c r="X79" s="43">
        <f>X76+X77</f>
        <v>840711</v>
      </c>
      <c r="Y79" s="39">
        <f t="shared" ref="Y79:AA79" si="247">Y76+Y77</f>
        <v>887946</v>
      </c>
      <c r="Z79" s="76">
        <f t="shared" si="247"/>
        <v>923293</v>
      </c>
      <c r="AA79" s="39">
        <f t="shared" si="247"/>
        <v>951492</v>
      </c>
    </row>
    <row r="80" spans="1:27" x14ac:dyDescent="0.25">
      <c r="A80" s="9" t="s">
        <v>135</v>
      </c>
      <c r="B80" s="43">
        <f>B77+B78</f>
        <v>885993</v>
      </c>
      <c r="C80" s="39">
        <f t="shared" ref="C80:E80" si="248">C77+C78</f>
        <v>1004325</v>
      </c>
      <c r="D80" s="76">
        <f t="shared" si="248"/>
        <v>1114868</v>
      </c>
      <c r="E80" s="39">
        <f t="shared" si="248"/>
        <v>1212818</v>
      </c>
      <c r="G80" s="43">
        <f>G77+G78</f>
        <v>983938</v>
      </c>
      <c r="H80" s="39">
        <f t="shared" ref="H80:J80" si="249">H77+H78</f>
        <v>1227493</v>
      </c>
      <c r="I80" s="76">
        <f t="shared" si="249"/>
        <v>1259838</v>
      </c>
      <c r="J80" s="39">
        <f t="shared" si="249"/>
        <v>1382458</v>
      </c>
      <c r="L80" s="9" t="s">
        <v>135</v>
      </c>
      <c r="M80" s="43">
        <f>M77+M78</f>
        <v>985962</v>
      </c>
      <c r="N80" s="39">
        <f t="shared" ref="N80:P80" si="250">N77+N78</f>
        <v>1229918</v>
      </c>
      <c r="O80" s="76">
        <f t="shared" si="250"/>
        <v>1262225</v>
      </c>
      <c r="P80" s="39">
        <f t="shared" si="250"/>
        <v>1384990</v>
      </c>
      <c r="R80" s="43">
        <f>R77+R78</f>
        <v>1030983</v>
      </c>
      <c r="S80" s="39">
        <f t="shared" ref="S80:U80" si="251">S77+S78</f>
        <v>1289416</v>
      </c>
      <c r="T80" s="76">
        <f t="shared" si="251"/>
        <v>1327341</v>
      </c>
      <c r="U80" s="39">
        <f t="shared" si="251"/>
        <v>1461761</v>
      </c>
      <c r="W80" s="9" t="s">
        <v>135</v>
      </c>
      <c r="X80" s="43">
        <f>X77+X78</f>
        <v>688936</v>
      </c>
      <c r="Y80" s="39">
        <f t="shared" ref="Y80:AA80" si="252">Y77+Y78</f>
        <v>786204</v>
      </c>
      <c r="Z80" s="76">
        <f t="shared" si="252"/>
        <v>878255</v>
      </c>
      <c r="AA80" s="39">
        <f t="shared" si="252"/>
        <v>961262</v>
      </c>
    </row>
    <row r="81" spans="1:27" x14ac:dyDescent="0.25">
      <c r="A81" s="19" t="s">
        <v>136</v>
      </c>
      <c r="B81" s="56">
        <f>B76+B77+B78</f>
        <v>1518845</v>
      </c>
      <c r="C81" s="35">
        <f t="shared" ref="C81:E81" si="253">C76+C77+C78</f>
        <v>1673873</v>
      </c>
      <c r="D81" s="77">
        <f t="shared" si="253"/>
        <v>1811660</v>
      </c>
      <c r="E81" s="35">
        <f t="shared" si="253"/>
        <v>1926240</v>
      </c>
      <c r="G81" s="56">
        <f>G76+G77+G78</f>
        <v>1740813</v>
      </c>
      <c r="H81" s="35">
        <f t="shared" ref="H81:J81" si="254">H76+H77+H78</f>
        <v>2104279</v>
      </c>
      <c r="I81" s="77">
        <f t="shared" si="254"/>
        <v>2099730</v>
      </c>
      <c r="J81" s="35">
        <f t="shared" si="254"/>
        <v>2246493</v>
      </c>
      <c r="L81" s="19" t="s">
        <v>136</v>
      </c>
      <c r="M81" s="56">
        <f>M76+M77+M78</f>
        <v>1744391</v>
      </c>
      <c r="N81" s="35">
        <f t="shared" ref="N81:P81" si="255">N76+N77+N78</f>
        <v>2108433</v>
      </c>
      <c r="O81" s="77">
        <f t="shared" si="255"/>
        <v>2103711</v>
      </c>
      <c r="P81" s="35">
        <f t="shared" si="255"/>
        <v>2250605</v>
      </c>
      <c r="R81" s="56">
        <f>R76+R77+R78</f>
        <v>1824048</v>
      </c>
      <c r="S81" s="35">
        <f t="shared" ref="S81:U81" si="256">S76+S77+S78</f>
        <v>2210429</v>
      </c>
      <c r="T81" s="77">
        <f t="shared" si="256"/>
        <v>2212233</v>
      </c>
      <c r="U81" s="35">
        <f t="shared" si="256"/>
        <v>2375361</v>
      </c>
      <c r="W81" s="19" t="s">
        <v>136</v>
      </c>
      <c r="X81" s="56">
        <f>X76+X77+X78</f>
        <v>1218887</v>
      </c>
      <c r="Y81" s="35">
        <f t="shared" ref="Y81:AA81" si="257">Y76+Y77+Y78</f>
        <v>1347776</v>
      </c>
      <c r="Z81" s="77">
        <f t="shared" si="257"/>
        <v>1463758</v>
      </c>
      <c r="AA81" s="35">
        <f t="shared" si="257"/>
        <v>1562050</v>
      </c>
    </row>
    <row r="82" spans="1:27" x14ac:dyDescent="0.25">
      <c r="A82" s="18" t="s">
        <v>139</v>
      </c>
      <c r="B82" s="57">
        <f>B70/B75</f>
        <v>0.38540009020011917</v>
      </c>
      <c r="C82" s="66">
        <f t="shared" ref="C82:E82" si="258">C70/C75</f>
        <v>0.41760993814942948</v>
      </c>
      <c r="D82" s="78">
        <f t="shared" si="258"/>
        <v>0.44720477352262566</v>
      </c>
      <c r="E82" s="66">
        <f t="shared" si="258"/>
        <v>0.47515366724811031</v>
      </c>
      <c r="G82" s="57">
        <f>G70/G75</f>
        <v>0.35304251519261404</v>
      </c>
      <c r="H82" s="66">
        <f t="shared" ref="H82:J82" si="259">H70/H75</f>
        <v>0.38171269114029083</v>
      </c>
      <c r="I82" s="78">
        <f t="shared" si="259"/>
        <v>0.41127240168974105</v>
      </c>
      <c r="J82" s="66">
        <f t="shared" si="259"/>
        <v>0.43752862795477215</v>
      </c>
      <c r="L82" s="18" t="s">
        <v>139</v>
      </c>
      <c r="M82" s="57">
        <f>M70/M75</f>
        <v>0.34670380665802564</v>
      </c>
      <c r="N82" s="66">
        <f t="shared" ref="N82:P82" si="260">N70/N75</f>
        <v>0.37538351941939818</v>
      </c>
      <c r="O82" s="78">
        <f t="shared" si="260"/>
        <v>0.40495961660132973</v>
      </c>
      <c r="P82" s="66">
        <f t="shared" si="260"/>
        <v>0.4312462648932176</v>
      </c>
      <c r="R82" s="57">
        <f>R70/R75</f>
        <v>0.38159467294720312</v>
      </c>
      <c r="S82" s="66">
        <f t="shared" ref="S82:U82" si="261">S70/S75</f>
        <v>0.41049407151281492</v>
      </c>
      <c r="T82" s="78">
        <f t="shared" si="261"/>
        <v>0.44024341016520413</v>
      </c>
      <c r="U82" s="66">
        <f t="shared" si="261"/>
        <v>0.46671095467173201</v>
      </c>
      <c r="W82" s="18" t="s">
        <v>139</v>
      </c>
      <c r="X82" s="57">
        <f>X70/X75</f>
        <v>0.38753049620583996</v>
      </c>
      <c r="Y82" s="66">
        <f t="shared" ref="Y82:AA82" si="262">Y70/Y75</f>
        <v>0.43128976921981099</v>
      </c>
      <c r="Z82" s="78">
        <f t="shared" si="262"/>
        <v>0.46382872032125527</v>
      </c>
      <c r="AA82" s="66">
        <f t="shared" si="262"/>
        <v>0.49422809769213533</v>
      </c>
    </row>
    <row r="83" spans="1:27" x14ac:dyDescent="0.25">
      <c r="A83" s="9" t="s">
        <v>140</v>
      </c>
      <c r="B83" s="58">
        <f>1-B82</f>
        <v>0.61459990979988088</v>
      </c>
      <c r="C83" s="67">
        <f t="shared" ref="C83:E83" si="263">1-C82</f>
        <v>0.58239006185057052</v>
      </c>
      <c r="D83" s="79">
        <f t="shared" si="263"/>
        <v>0.55279522647737434</v>
      </c>
      <c r="E83" s="67">
        <f t="shared" si="263"/>
        <v>0.52484633275188974</v>
      </c>
      <c r="G83" s="58">
        <f>1-G82</f>
        <v>0.64695748480738602</v>
      </c>
      <c r="H83" s="67">
        <f t="shared" ref="H83" si="264">1-H82</f>
        <v>0.61828730885970917</v>
      </c>
      <c r="I83" s="79">
        <f t="shared" ref="I83" si="265">1-I82</f>
        <v>0.58872759831025889</v>
      </c>
      <c r="J83" s="67">
        <f t="shared" ref="J83" si="266">1-J82</f>
        <v>0.5624713720452279</v>
      </c>
      <c r="L83" s="9" t="s">
        <v>140</v>
      </c>
      <c r="M83" s="58">
        <f>1-M82</f>
        <v>0.65329619334197431</v>
      </c>
      <c r="N83" s="67">
        <f t="shared" ref="N83" si="267">1-N82</f>
        <v>0.62461648058060182</v>
      </c>
      <c r="O83" s="79">
        <f t="shared" ref="O83" si="268">1-O82</f>
        <v>0.59504038339867027</v>
      </c>
      <c r="P83" s="67">
        <f t="shared" ref="P83" si="269">1-P82</f>
        <v>0.5687537351067824</v>
      </c>
      <c r="R83" s="58">
        <f>1-R82</f>
        <v>0.61840532705279694</v>
      </c>
      <c r="S83" s="67">
        <f t="shared" ref="S83" si="270">1-S82</f>
        <v>0.58950592848718508</v>
      </c>
      <c r="T83" s="79">
        <f t="shared" ref="T83" si="271">1-T82</f>
        <v>0.55975658983479581</v>
      </c>
      <c r="U83" s="67">
        <f t="shared" ref="U83" si="272">1-U82</f>
        <v>0.53328904532826793</v>
      </c>
      <c r="W83" s="9" t="s">
        <v>140</v>
      </c>
      <c r="X83" s="58">
        <f>1-X82</f>
        <v>0.6124695037941601</v>
      </c>
      <c r="Y83" s="67">
        <f t="shared" ref="Y83" si="273">1-Y82</f>
        <v>0.56871023078018901</v>
      </c>
      <c r="Z83" s="79">
        <f t="shared" ref="Z83" si="274">1-Z82</f>
        <v>0.53617127967874478</v>
      </c>
      <c r="AA83" s="67">
        <f t="shared" ref="AA83" si="275">1-AA82</f>
        <v>0.50577190230786462</v>
      </c>
    </row>
    <row r="84" spans="1:27" x14ac:dyDescent="0.25">
      <c r="A84" s="9" t="s">
        <v>141</v>
      </c>
      <c r="B84" s="58">
        <f>B79/B81</f>
        <v>0.68272667717904068</v>
      </c>
      <c r="C84" s="67">
        <f t="shared" ref="C84:E84" si="276">C79/C81</f>
        <v>0.65311824732222812</v>
      </c>
      <c r="D84" s="79">
        <f t="shared" si="276"/>
        <v>0.62626099820054537</v>
      </c>
      <c r="E84" s="67">
        <f t="shared" si="276"/>
        <v>0.60585544895755461</v>
      </c>
      <c r="G84" s="58">
        <f>G79/G81</f>
        <v>0.69655327711822002</v>
      </c>
      <c r="H84" s="67">
        <f t="shared" ref="H84:J84" si="277">H79/H81</f>
        <v>0.66188894153294309</v>
      </c>
      <c r="I84" s="79">
        <f t="shared" si="277"/>
        <v>0.63929028970391433</v>
      </c>
      <c r="J84" s="67">
        <f t="shared" si="277"/>
        <v>0.61873061701060272</v>
      </c>
      <c r="L84" s="9" t="s">
        <v>141</v>
      </c>
      <c r="M84" s="58">
        <f>M79/M81</f>
        <v>0.69651815447339505</v>
      </c>
      <c r="N84" s="67">
        <f t="shared" ref="N84:P84" si="278">N79/N81</f>
        <v>0.66186784213679073</v>
      </c>
      <c r="O84" s="79">
        <f t="shared" si="278"/>
        <v>0.63928125108439326</v>
      </c>
      <c r="P84" s="67">
        <f t="shared" si="278"/>
        <v>0.61872963047713836</v>
      </c>
      <c r="R84" s="58">
        <f>R79/R81</f>
        <v>0.69613628588721355</v>
      </c>
      <c r="S84" s="67">
        <f t="shared" ref="S84:U84" si="279">S79/S81</f>
        <v>0.6616340086019501</v>
      </c>
      <c r="T84" s="79">
        <f t="shared" si="279"/>
        <v>0.63915193381528979</v>
      </c>
      <c r="U84" s="67">
        <f t="shared" si="279"/>
        <v>0.61873079502441941</v>
      </c>
      <c r="W84" s="9" t="s">
        <v>141</v>
      </c>
      <c r="X84" s="58">
        <f>X79/X81</f>
        <v>0.68973662037580186</v>
      </c>
      <c r="Y84" s="67">
        <f t="shared" ref="Y84:AA84" si="280">Y79/Y81</f>
        <v>0.65882312787881669</v>
      </c>
      <c r="Z84" s="79">
        <f t="shared" si="280"/>
        <v>0.6307688839275345</v>
      </c>
      <c r="AA84" s="67">
        <f t="shared" si="280"/>
        <v>0.60913030952914438</v>
      </c>
    </row>
    <row r="85" spans="1:27" x14ac:dyDescent="0.25">
      <c r="A85" s="19" t="s">
        <v>142</v>
      </c>
      <c r="B85" s="59">
        <f>1-B84</f>
        <v>0.31727332282095932</v>
      </c>
      <c r="C85" s="68">
        <f t="shared" ref="C85:E85" si="281">1-C84</f>
        <v>0.34688175267777188</v>
      </c>
      <c r="D85" s="80">
        <f t="shared" si="281"/>
        <v>0.37373900179945463</v>
      </c>
      <c r="E85" s="68">
        <f t="shared" si="281"/>
        <v>0.39414455104244539</v>
      </c>
      <c r="G85" s="59">
        <f>1-G84</f>
        <v>0.30344672288177998</v>
      </c>
      <c r="H85" s="68">
        <f t="shared" ref="H85" si="282">1-H84</f>
        <v>0.33811105846705691</v>
      </c>
      <c r="I85" s="80">
        <f t="shared" ref="I85" si="283">1-I84</f>
        <v>0.36070971029608567</v>
      </c>
      <c r="J85" s="68">
        <f t="shared" ref="J85" si="284">1-J84</f>
        <v>0.38126938298939728</v>
      </c>
      <c r="L85" s="19" t="s">
        <v>142</v>
      </c>
      <c r="M85" s="59">
        <f>1-M84</f>
        <v>0.30348184552660495</v>
      </c>
      <c r="N85" s="68">
        <f t="shared" ref="N85" si="285">1-N84</f>
        <v>0.33813215786320927</v>
      </c>
      <c r="O85" s="80">
        <f t="shared" ref="O85" si="286">1-O84</f>
        <v>0.36071874891560674</v>
      </c>
      <c r="P85" s="68">
        <f t="shared" ref="P85" si="287">1-P84</f>
        <v>0.38127036952286164</v>
      </c>
      <c r="R85" s="59">
        <f>1-R84</f>
        <v>0.30386371411278645</v>
      </c>
      <c r="S85" s="68">
        <f t="shared" ref="S85" si="288">1-S84</f>
        <v>0.3383659913980499</v>
      </c>
      <c r="T85" s="80">
        <f t="shared" ref="T85" si="289">1-T84</f>
        <v>0.36084806618471021</v>
      </c>
      <c r="U85" s="68">
        <f t="shared" ref="U85" si="290">1-U84</f>
        <v>0.38126920497558059</v>
      </c>
      <c r="W85" s="19" t="s">
        <v>142</v>
      </c>
      <c r="X85" s="59">
        <f>1-X84</f>
        <v>0.31026337962419814</v>
      </c>
      <c r="Y85" s="68">
        <f t="shared" ref="Y85" si="291">1-Y84</f>
        <v>0.34117687212118331</v>
      </c>
      <c r="Z85" s="80">
        <f t="shared" ref="Z85" si="292">1-Z84</f>
        <v>0.3692311160724655</v>
      </c>
      <c r="AA85" s="68">
        <f t="shared" ref="AA85" si="293">1-AA84</f>
        <v>0.39086969047085562</v>
      </c>
    </row>
    <row r="86" spans="1:27" x14ac:dyDescent="0.25">
      <c r="A86" s="18" t="s">
        <v>138</v>
      </c>
      <c r="B86" s="57">
        <f>B76/B81</f>
        <v>0.41666661180041414</v>
      </c>
      <c r="C86" s="66">
        <f t="shared" ref="C86:E86" si="294">C76/C81</f>
        <v>0.39999928309973337</v>
      </c>
      <c r="D86" s="78">
        <f t="shared" si="294"/>
        <v>0.38461521477539934</v>
      </c>
      <c r="E86" s="66">
        <f t="shared" si="294"/>
        <v>0.37037025500456849</v>
      </c>
      <c r="G86" s="57">
        <f>G76/G81</f>
        <v>0.43478248381646967</v>
      </c>
      <c r="H86" s="66">
        <f t="shared" ref="H86:J86" si="295">H76/H81</f>
        <v>0.41666813193497632</v>
      </c>
      <c r="I86" s="78">
        <f t="shared" si="295"/>
        <v>0.4</v>
      </c>
      <c r="J86" s="66">
        <f t="shared" si="295"/>
        <v>0.38461504220133336</v>
      </c>
      <c r="L86" s="18" t="s">
        <v>138</v>
      </c>
      <c r="M86" s="57">
        <f>M76/M81</f>
        <v>0.43478153693753291</v>
      </c>
      <c r="N86" s="66">
        <f t="shared" ref="N86:P86" si="296">N76/N81</f>
        <v>0.41666725952401618</v>
      </c>
      <c r="O86" s="78">
        <f t="shared" si="296"/>
        <v>0.40000076056074241</v>
      </c>
      <c r="P86" s="66">
        <f t="shared" si="296"/>
        <v>0.38461435925006832</v>
      </c>
      <c r="R86" s="57">
        <f>R76/R81</f>
        <v>0.43478296623773061</v>
      </c>
      <c r="S86" s="66">
        <f t="shared" ref="S86:U86" si="297">S76/S81</f>
        <v>0.41666708136746305</v>
      </c>
      <c r="T86" s="78">
        <f t="shared" si="297"/>
        <v>0.39999945756165828</v>
      </c>
      <c r="U86" s="66">
        <f t="shared" si="297"/>
        <v>0.38461522269667642</v>
      </c>
      <c r="W86" s="18" t="s">
        <v>138</v>
      </c>
      <c r="X86" s="57">
        <f>X76/X81</f>
        <v>0.43478271570703436</v>
      </c>
      <c r="Y86" s="66">
        <f t="shared" ref="Y86:AA86" si="298">Y76/Y81</f>
        <v>0.41666567738259175</v>
      </c>
      <c r="Z86" s="78">
        <f t="shared" si="298"/>
        <v>0.39999986336539239</v>
      </c>
      <c r="AA86" s="66">
        <f t="shared" si="298"/>
        <v>0.38461508914567394</v>
      </c>
    </row>
    <row r="87" spans="1:27" x14ac:dyDescent="0.25">
      <c r="A87" s="9" t="s">
        <v>137</v>
      </c>
      <c r="B87" s="58">
        <f>1-B86</f>
        <v>0.58333338819958591</v>
      </c>
      <c r="C87" s="67">
        <f t="shared" ref="C87:E87" si="299">1-C86</f>
        <v>0.60000071690026657</v>
      </c>
      <c r="D87" s="79">
        <f t="shared" si="299"/>
        <v>0.61538478522460061</v>
      </c>
      <c r="E87" s="67">
        <f t="shared" si="299"/>
        <v>0.62962974499543156</v>
      </c>
      <c r="G87" s="58">
        <f>1-G86</f>
        <v>0.56521751618353033</v>
      </c>
      <c r="H87" s="67">
        <f t="shared" ref="H87" si="300">1-H86</f>
        <v>0.58333186806502368</v>
      </c>
      <c r="I87" s="79">
        <f t="shared" ref="I87" si="301">1-I86</f>
        <v>0.6</v>
      </c>
      <c r="J87" s="67">
        <f t="shared" ref="J87" si="302">1-J86</f>
        <v>0.61538495779866664</v>
      </c>
      <c r="L87" s="9" t="s">
        <v>137</v>
      </c>
      <c r="M87" s="58">
        <f>1-M86</f>
        <v>0.56521846306246704</v>
      </c>
      <c r="N87" s="67">
        <f t="shared" ref="N87" si="303">1-N86</f>
        <v>0.58333274047598382</v>
      </c>
      <c r="O87" s="79">
        <f t="shared" ref="O87" si="304">1-O86</f>
        <v>0.59999923943925759</v>
      </c>
      <c r="P87" s="67">
        <f t="shared" ref="P87" si="305">1-P86</f>
        <v>0.61538564074993163</v>
      </c>
      <c r="R87" s="58">
        <f>1-R86</f>
        <v>0.56521703376226939</v>
      </c>
      <c r="S87" s="67">
        <f t="shared" ref="S87" si="306">1-S86</f>
        <v>0.58333291863253689</v>
      </c>
      <c r="T87" s="79">
        <f t="shared" ref="T87" si="307">1-T86</f>
        <v>0.60000054243834167</v>
      </c>
      <c r="U87" s="67">
        <f t="shared" ref="U87" si="308">1-U86</f>
        <v>0.61538477730332364</v>
      </c>
      <c r="W87" s="9" t="s">
        <v>137</v>
      </c>
      <c r="X87" s="58">
        <f>1-X86</f>
        <v>0.56521728429296569</v>
      </c>
      <c r="Y87" s="67">
        <f t="shared" ref="Y87" si="309">1-Y86</f>
        <v>0.58333432261740825</v>
      </c>
      <c r="Z87" s="79">
        <f t="shared" ref="Z87" si="310">1-Z86</f>
        <v>0.60000013663460761</v>
      </c>
      <c r="AA87" s="67">
        <f t="shared" ref="AA87" si="311">1-AA86</f>
        <v>0.61538491085432612</v>
      </c>
    </row>
    <row r="88" spans="1:27" x14ac:dyDescent="0.25">
      <c r="A88" s="19" t="s">
        <v>143</v>
      </c>
      <c r="B88" s="60">
        <f>B80/B76</f>
        <v>1.4000003160296561</v>
      </c>
      <c r="C88" s="69">
        <f t="shared" ref="C88:E88" si="312">C80/C76</f>
        <v>1.5000044806346968</v>
      </c>
      <c r="D88" s="81">
        <f t="shared" si="312"/>
        <v>1.6000011481188072</v>
      </c>
      <c r="E88" s="69">
        <f t="shared" si="312"/>
        <v>1.7000008410169578</v>
      </c>
      <c r="G88" s="60">
        <f>G80/G76</f>
        <v>1.3000006606110652</v>
      </c>
      <c r="H88" s="69">
        <f t="shared" ref="H88:J88" si="313">H80/H76</f>
        <v>1.3999915600842168</v>
      </c>
      <c r="I88" s="81">
        <f t="shared" si="313"/>
        <v>1.5</v>
      </c>
      <c r="J88" s="69">
        <f t="shared" si="313"/>
        <v>1.6000023147210471</v>
      </c>
      <c r="L88" s="19" t="s">
        <v>143</v>
      </c>
      <c r="M88" s="60">
        <f>M80/M76</f>
        <v>1.3000056696144267</v>
      </c>
      <c r="N88" s="69">
        <f t="shared" ref="N88:P88" si="314">N80/N76</f>
        <v>1.3999965851465257</v>
      </c>
      <c r="O88" s="81">
        <f t="shared" si="314"/>
        <v>1.4999952465043982</v>
      </c>
      <c r="P88" s="69">
        <f t="shared" si="314"/>
        <v>1.6000069314880172</v>
      </c>
      <c r="R88" s="60">
        <f>R80/R76</f>
        <v>1.2999981086039605</v>
      </c>
      <c r="S88" s="69">
        <f t="shared" ref="S88:U88" si="315">S80/S76</f>
        <v>1.3999976113257901</v>
      </c>
      <c r="T88" s="81">
        <f t="shared" si="315"/>
        <v>1.5000033902442331</v>
      </c>
      <c r="U88" s="69">
        <f t="shared" si="315"/>
        <v>1.6000010945709282</v>
      </c>
      <c r="W88" s="19" t="s">
        <v>143</v>
      </c>
      <c r="X88" s="60">
        <f>X80/X76</f>
        <v>1.2999994339099274</v>
      </c>
      <c r="Y88" s="69">
        <f t="shared" ref="Y88:AA88" si="316">Y80/Y76</f>
        <v>1.4000056982898008</v>
      </c>
      <c r="Z88" s="81">
        <f t="shared" si="316"/>
        <v>1.5000008539665894</v>
      </c>
      <c r="AA88" s="69">
        <f t="shared" si="316"/>
        <v>1.6000019973767785</v>
      </c>
    </row>
    <row r="89" spans="1:27" x14ac:dyDescent="0.25">
      <c r="A89" s="18" t="s">
        <v>144</v>
      </c>
      <c r="B89" s="55">
        <f>B76-B70</f>
        <v>47489</v>
      </c>
      <c r="C89" s="33">
        <f t="shared" ref="C89:E89" si="317">C76-C70</f>
        <v>-29478</v>
      </c>
      <c r="D89" s="75">
        <f t="shared" si="317"/>
        <v>-113391</v>
      </c>
      <c r="E89" s="33">
        <f t="shared" si="317"/>
        <v>-201838</v>
      </c>
      <c r="G89" s="55">
        <f>G76-G70</f>
        <v>142294</v>
      </c>
      <c r="H89" s="33">
        <f t="shared" ref="H89:J89" si="318">H76-H70</f>
        <v>73556</v>
      </c>
      <c r="I89" s="75">
        <f t="shared" si="318"/>
        <v>-23669</v>
      </c>
      <c r="J89" s="33">
        <f t="shared" si="318"/>
        <v>-118870</v>
      </c>
      <c r="L89" s="18" t="s">
        <v>144</v>
      </c>
      <c r="M89" s="55">
        <f>M76-M70</f>
        <v>153642</v>
      </c>
      <c r="N89" s="33">
        <f t="shared" ref="N89:P89" si="319">N76-N70</f>
        <v>87044</v>
      </c>
      <c r="O89" s="75">
        <f t="shared" si="319"/>
        <v>-10432</v>
      </c>
      <c r="P89" s="33">
        <f t="shared" si="319"/>
        <v>-104950</v>
      </c>
      <c r="R89" s="55">
        <f>R76-R70</f>
        <v>97018</v>
      </c>
      <c r="S89" s="33">
        <f t="shared" ref="S89:U89" si="320">S76-S70</f>
        <v>13645</v>
      </c>
      <c r="T89" s="75">
        <f t="shared" si="320"/>
        <v>-89029</v>
      </c>
      <c r="U89" s="33">
        <f t="shared" si="320"/>
        <v>-195007</v>
      </c>
      <c r="W89" s="18" t="s">
        <v>144</v>
      </c>
      <c r="X89" s="55">
        <f>X76-X70</f>
        <v>57595.116071152326</v>
      </c>
      <c r="Y89" s="33">
        <f t="shared" ref="Y89:AA89" si="321">Y76-Y70</f>
        <v>-19710</v>
      </c>
      <c r="Z89" s="75">
        <f t="shared" si="321"/>
        <v>-93430</v>
      </c>
      <c r="AA89" s="33">
        <f t="shared" si="321"/>
        <v>-171221</v>
      </c>
    </row>
    <row r="90" spans="1:27" x14ac:dyDescent="0.25">
      <c r="A90" s="9" t="s">
        <v>145</v>
      </c>
      <c r="B90" s="43">
        <f>B73+B74-B78</f>
        <v>-26133</v>
      </c>
      <c r="C90" s="39">
        <f t="shared" ref="C90:E90" si="322">C73+C74-C78</f>
        <v>-15306</v>
      </c>
      <c r="D90" s="76">
        <f t="shared" si="322"/>
        <v>3142</v>
      </c>
      <c r="E90" s="39">
        <f t="shared" si="322"/>
        <v>41256</v>
      </c>
      <c r="G90" s="43">
        <f>G73+G74-G78</f>
        <v>94984</v>
      </c>
      <c r="H90" s="39">
        <f t="shared" ref="H90:J90" si="323">H73+H74-H78</f>
        <v>159227</v>
      </c>
      <c r="I90" s="76">
        <f t="shared" si="323"/>
        <v>150161</v>
      </c>
      <c r="J90" s="39">
        <f t="shared" si="323"/>
        <v>194713</v>
      </c>
      <c r="L90" s="9" t="s">
        <v>145</v>
      </c>
      <c r="M90" s="43">
        <f>M73+M74-M78</f>
        <v>107209</v>
      </c>
      <c r="N90" s="39">
        <f t="shared" ref="N90:P90" si="324">N73+N74-N78</f>
        <v>173691</v>
      </c>
      <c r="O90" s="76">
        <f t="shared" si="324"/>
        <v>164330</v>
      </c>
      <c r="P90" s="39">
        <f t="shared" si="324"/>
        <v>209595</v>
      </c>
      <c r="R90" s="43">
        <f>R73+R74-R78</f>
        <v>89817</v>
      </c>
      <c r="S90" s="39">
        <f t="shared" ref="S90:U90" si="325">S73+S74-S78</f>
        <v>140164</v>
      </c>
      <c r="T90" s="76">
        <f t="shared" si="325"/>
        <v>122422</v>
      </c>
      <c r="U90" s="39">
        <f t="shared" si="325"/>
        <v>155448</v>
      </c>
      <c r="W90" s="9" t="s">
        <v>145</v>
      </c>
      <c r="X90" s="43">
        <f>X73+X74-X78</f>
        <v>-139052.88392884773</v>
      </c>
      <c r="Y90" s="39">
        <f t="shared" ref="Y90:AA90" si="326">Y73+Y74-Y78</f>
        <v>-125405</v>
      </c>
      <c r="Z90" s="76">
        <f t="shared" si="326"/>
        <v>-91751</v>
      </c>
      <c r="AA90" s="39">
        <f t="shared" si="326"/>
        <v>-37671</v>
      </c>
    </row>
    <row r="91" spans="1:27" x14ac:dyDescent="0.25">
      <c r="A91" s="19" t="s">
        <v>146</v>
      </c>
      <c r="B91" s="56">
        <f>B71-B78</f>
        <v>451593</v>
      </c>
      <c r="C91" s="35">
        <f t="shared" ref="C91:E91" si="327">C71-C78</f>
        <v>394211</v>
      </c>
      <c r="D91" s="77">
        <f t="shared" si="327"/>
        <v>324389</v>
      </c>
      <c r="E91" s="35">
        <f t="shared" si="327"/>
        <v>251763</v>
      </c>
      <c r="G91" s="56">
        <f>G71-G78</f>
        <v>597988</v>
      </c>
      <c r="H91" s="35">
        <f t="shared" ref="H91:J91" si="328">H71-H78</f>
        <v>589569</v>
      </c>
      <c r="I91" s="77">
        <f t="shared" si="328"/>
        <v>478776</v>
      </c>
      <c r="J91" s="35">
        <f t="shared" si="328"/>
        <v>407069</v>
      </c>
      <c r="L91" s="19" t="s">
        <v>146</v>
      </c>
      <c r="M91" s="56">
        <f>M71-M78</f>
        <v>610213</v>
      </c>
      <c r="N91" s="35">
        <f t="shared" ref="N91:P91" si="329">N71-N78</f>
        <v>604033</v>
      </c>
      <c r="O91" s="77">
        <f t="shared" si="329"/>
        <v>492945</v>
      </c>
      <c r="P91" s="35">
        <f t="shared" si="329"/>
        <v>421951</v>
      </c>
      <c r="R91" s="56">
        <f>R71-R78</f>
        <v>573739</v>
      </c>
      <c r="S91" s="35">
        <f t="shared" ref="S91:U91" si="330">S71-S78</f>
        <v>555127</v>
      </c>
      <c r="T91" s="77">
        <f t="shared" si="330"/>
        <v>440032</v>
      </c>
      <c r="U91" s="35">
        <f t="shared" si="330"/>
        <v>361102</v>
      </c>
      <c r="W91" s="19" t="s">
        <v>146</v>
      </c>
      <c r="X91" s="56">
        <f>X71-X78</f>
        <v>368355.11607115227</v>
      </c>
      <c r="Y91" s="35">
        <f t="shared" ref="Y91:AA91" si="331">Y71-Y78</f>
        <v>306664</v>
      </c>
      <c r="Z91" s="77">
        <f t="shared" si="331"/>
        <v>244360</v>
      </c>
      <c r="AA91" s="35">
        <f t="shared" si="331"/>
        <v>179483</v>
      </c>
    </row>
    <row r="92" spans="1:27" x14ac:dyDescent="0.25">
      <c r="A92" s="18" t="s">
        <v>147</v>
      </c>
      <c r="B92" s="61">
        <f>B71/B78</f>
        <v>1.9371307500274959</v>
      </c>
      <c r="C92" s="70">
        <f t="shared" ref="C92:E92" si="332">C71/C78</f>
        <v>1.6789296564456906</v>
      </c>
      <c r="D92" s="82">
        <f t="shared" si="332"/>
        <v>1.4790942979346851</v>
      </c>
      <c r="E92" s="70">
        <f t="shared" si="332"/>
        <v>1.3316087495406452</v>
      </c>
      <c r="G92" s="61">
        <f>G71/G78</f>
        <v>2.132029895275668</v>
      </c>
      <c r="H92" s="70">
        <f t="shared" ref="H92:J92" si="333">H71/H78</f>
        <v>1.8286515432619328</v>
      </c>
      <c r="I92" s="82">
        <f t="shared" si="333"/>
        <v>1.6321368166856574</v>
      </c>
      <c r="J92" s="70">
        <f t="shared" si="333"/>
        <v>1.4752597432164376</v>
      </c>
      <c r="L92" s="18" t="s">
        <v>147</v>
      </c>
      <c r="M92" s="61">
        <f>M71/M78</f>
        <v>2.1526697658252596</v>
      </c>
      <c r="N92" s="70">
        <f t="shared" ref="N92:P92" si="334">N71/N78</f>
        <v>1.8472554770531147</v>
      </c>
      <c r="O92" s="82">
        <f t="shared" si="334"/>
        <v>1.6495964936324534</v>
      </c>
      <c r="P92" s="70">
        <f t="shared" si="334"/>
        <v>1.4917333749762554</v>
      </c>
      <c r="R92" s="61">
        <f>R71/R78</f>
        <v>2.0351404209561541</v>
      </c>
      <c r="S92" s="70">
        <f t="shared" ref="S92:U92" si="335">S71/S78</f>
        <v>1.7422138851823823</v>
      </c>
      <c r="T92" s="82">
        <f t="shared" si="335"/>
        <v>1.5512251340381822</v>
      </c>
      <c r="U92" s="70">
        <f t="shared" si="335"/>
        <v>1.398720479831105</v>
      </c>
      <c r="W92" s="18" t="s">
        <v>147</v>
      </c>
      <c r="X92" s="61">
        <f>X71/X78</f>
        <v>1.9740309170099433</v>
      </c>
      <c r="Y92" s="70">
        <f t="shared" ref="Y92:AA92" si="336">Y71/Y78</f>
        <v>1.6669073353195747</v>
      </c>
      <c r="Z92" s="82">
        <f t="shared" si="336"/>
        <v>1.4521291850536113</v>
      </c>
      <c r="AA92" s="70">
        <f t="shared" si="336"/>
        <v>1.2939655200652518</v>
      </c>
    </row>
    <row r="93" spans="1:27" x14ac:dyDescent="0.25">
      <c r="A93" s="19" t="s">
        <v>148</v>
      </c>
      <c r="B93" s="60">
        <f>(B73+B74)/B78</f>
        <v>0.94576966894865833</v>
      </c>
      <c r="C93" s="69">
        <f t="shared" ref="C93:E93" si="337">(C73+C74)/C78</f>
        <v>0.97363925075262303</v>
      </c>
      <c r="D93" s="81">
        <f t="shared" si="337"/>
        <v>1.0046404603242118</v>
      </c>
      <c r="E93" s="69">
        <f t="shared" si="337"/>
        <v>1.0543401952274514</v>
      </c>
      <c r="G93" s="60">
        <f>(G73+G74)/G78</f>
        <v>1.1798108449883009</v>
      </c>
      <c r="H93" s="69">
        <f t="shared" ref="H93:J93" si="338">(H73+H74)/H78</f>
        <v>1.2237968741215495</v>
      </c>
      <c r="I93" s="81">
        <f t="shared" si="338"/>
        <v>1.1982603483264302</v>
      </c>
      <c r="J93" s="69">
        <f t="shared" si="338"/>
        <v>1.2273306254735739</v>
      </c>
      <c r="L93" s="19" t="s">
        <v>148</v>
      </c>
      <c r="M93" s="60">
        <f>(M73+M74)/M78</f>
        <v>1.2025138319314079</v>
      </c>
      <c r="N93" s="69">
        <f t="shared" ref="N93:P93" si="339">(N73+N74)/N78</f>
        <v>1.2436301511090164</v>
      </c>
      <c r="O93" s="81">
        <f t="shared" si="339"/>
        <v>1.2165519313485704</v>
      </c>
      <c r="P93" s="69">
        <f t="shared" si="339"/>
        <v>1.2442578800101154</v>
      </c>
      <c r="R93" s="60">
        <f>(R73+R74)/R78</f>
        <v>1.162047912359137</v>
      </c>
      <c r="S93" s="69">
        <f t="shared" ref="S93:U93" si="340">(S73+S74)/S78</f>
        <v>1.1874015621699241</v>
      </c>
      <c r="T93" s="81">
        <f t="shared" si="340"/>
        <v>1.1533572180187404</v>
      </c>
      <c r="U93" s="69">
        <f t="shared" si="340"/>
        <v>1.1716420876893112</v>
      </c>
      <c r="W93" s="19" t="s">
        <v>148</v>
      </c>
      <c r="X93" s="60">
        <f>(X73+X74)/X78</f>
        <v>0.63230642894089595</v>
      </c>
      <c r="Y93" s="69">
        <f t="shared" ref="Y93:AA93" si="341">(Y73+Y74)/Y78</f>
        <v>0.72727964682600088</v>
      </c>
      <c r="Z93" s="81">
        <f t="shared" si="341"/>
        <v>0.830236925610354</v>
      </c>
      <c r="AA93" s="69">
        <f t="shared" si="341"/>
        <v>0.93830070198081095</v>
      </c>
    </row>
    <row r="94" spans="1:27" x14ac:dyDescent="0.25">
      <c r="A94" s="18" t="s">
        <v>149</v>
      </c>
      <c r="B94" s="55">
        <f>B52+B53-B56-B57-B58-B61</f>
        <v>349070</v>
      </c>
      <c r="C94" s="33">
        <f t="shared" ref="C94:E94" si="342">C52+C53-C56-C57-C58-C61</f>
        <v>375149</v>
      </c>
      <c r="D94" s="75">
        <f t="shared" si="342"/>
        <v>399625</v>
      </c>
      <c r="E94" s="33">
        <f t="shared" si="342"/>
        <v>422495</v>
      </c>
      <c r="G94" s="55">
        <f t="shared" ref="G94:J94" si="343">G52+G53-G56-G57-G58-G61</f>
        <v>351200</v>
      </c>
      <c r="H94" s="33">
        <f t="shared" si="343"/>
        <v>411752</v>
      </c>
      <c r="I94" s="75">
        <f t="shared" si="343"/>
        <v>402063</v>
      </c>
      <c r="J94" s="33">
        <f t="shared" si="343"/>
        <v>425072</v>
      </c>
      <c r="L94" s="18" t="s">
        <v>149</v>
      </c>
      <c r="M94" s="55">
        <f t="shared" ref="M94:P94" si="344">M52+M53-M56-M57-M58-M61</f>
        <v>351200</v>
      </c>
      <c r="N94" s="33">
        <f t="shared" si="344"/>
        <v>411752</v>
      </c>
      <c r="O94" s="75">
        <f t="shared" si="344"/>
        <v>402063</v>
      </c>
      <c r="P94" s="33">
        <f t="shared" si="344"/>
        <v>425072</v>
      </c>
      <c r="R94" s="55">
        <f t="shared" ref="R94:U94" si="345">R52+R53-R56-R57-R58-R61</f>
        <v>356962</v>
      </c>
      <c r="S94" s="33">
        <f t="shared" si="345"/>
        <v>418620</v>
      </c>
      <c r="T94" s="75">
        <f t="shared" si="345"/>
        <v>408884</v>
      </c>
      <c r="U94" s="33">
        <f t="shared" si="345"/>
        <v>432411</v>
      </c>
      <c r="W94" s="18" t="s">
        <v>149</v>
      </c>
      <c r="X94" s="55">
        <f t="shared" ref="X94:AA94" si="346">X52+X53-X56-X57-X58-X61</f>
        <v>341008</v>
      </c>
      <c r="Y94" s="33">
        <f t="shared" si="346"/>
        <v>366385</v>
      </c>
      <c r="Z94" s="75">
        <f t="shared" si="346"/>
        <v>390175</v>
      </c>
      <c r="AA94" s="33">
        <f t="shared" si="346"/>
        <v>412381</v>
      </c>
    </row>
    <row r="95" spans="1:27" x14ac:dyDescent="0.25">
      <c r="A95" s="9" t="s">
        <v>150</v>
      </c>
      <c r="B95" s="43">
        <f>B94-B59</f>
        <v>252775</v>
      </c>
      <c r="C95" s="39">
        <f t="shared" ref="C95:E96" si="347">C94-C59</f>
        <v>264811</v>
      </c>
      <c r="D95" s="76">
        <f t="shared" si="347"/>
        <v>274441</v>
      </c>
      <c r="E95" s="39">
        <f t="shared" si="347"/>
        <v>281663</v>
      </c>
      <c r="G95" s="43">
        <f t="shared" ref="G95:J96" si="348">G94-G59</f>
        <v>258354</v>
      </c>
      <c r="H95" s="39">
        <f t="shared" si="348"/>
        <v>295493</v>
      </c>
      <c r="I95" s="76">
        <f t="shared" si="348"/>
        <v>280960</v>
      </c>
      <c r="J95" s="39">
        <f t="shared" si="348"/>
        <v>288629</v>
      </c>
      <c r="L95" s="9" t="s">
        <v>150</v>
      </c>
      <c r="M95" s="43">
        <f t="shared" ref="M95:P96" si="349">M94-M59</f>
        <v>258354</v>
      </c>
      <c r="N95" s="39">
        <f t="shared" si="349"/>
        <v>295493</v>
      </c>
      <c r="O95" s="76">
        <f t="shared" si="349"/>
        <v>280960</v>
      </c>
      <c r="P95" s="39">
        <f t="shared" si="349"/>
        <v>288629</v>
      </c>
      <c r="R95" s="43">
        <f t="shared" ref="R95:U96" si="350">R94-R59</f>
        <v>267721</v>
      </c>
      <c r="S95" s="39">
        <f t="shared" si="350"/>
        <v>306664</v>
      </c>
      <c r="T95" s="76">
        <f t="shared" si="350"/>
        <v>292060</v>
      </c>
      <c r="U95" s="39">
        <f t="shared" si="350"/>
        <v>300578</v>
      </c>
      <c r="W95" s="9" t="s">
        <v>150</v>
      </c>
      <c r="X95" s="43">
        <f t="shared" ref="X95:AA96" si="351">X94-X59</f>
        <v>249808</v>
      </c>
      <c r="Y95" s="39">
        <f t="shared" si="351"/>
        <v>261703</v>
      </c>
      <c r="Z95" s="76">
        <f t="shared" si="351"/>
        <v>271219</v>
      </c>
      <c r="AA95" s="39">
        <f t="shared" si="351"/>
        <v>278357</v>
      </c>
    </row>
    <row r="96" spans="1:27" x14ac:dyDescent="0.25">
      <c r="A96" s="9" t="s">
        <v>151</v>
      </c>
      <c r="B96" s="43">
        <f>B95-B60</f>
        <v>168517</v>
      </c>
      <c r="C96" s="39">
        <f t="shared" si="347"/>
        <v>167713</v>
      </c>
      <c r="D96" s="76">
        <f t="shared" si="347"/>
        <v>163702</v>
      </c>
      <c r="E96" s="39">
        <f t="shared" si="347"/>
        <v>156479</v>
      </c>
      <c r="G96" s="43">
        <f t="shared" si="348"/>
        <v>177618</v>
      </c>
      <c r="H96" s="39">
        <f t="shared" si="348"/>
        <v>193766</v>
      </c>
      <c r="I96" s="76">
        <f t="shared" si="348"/>
        <v>174389</v>
      </c>
      <c r="J96" s="39">
        <f t="shared" si="348"/>
        <v>167929</v>
      </c>
      <c r="L96" s="9" t="s">
        <v>151</v>
      </c>
      <c r="M96" s="43">
        <f t="shared" si="349"/>
        <v>177618</v>
      </c>
      <c r="N96" s="39">
        <f t="shared" si="349"/>
        <v>193766</v>
      </c>
      <c r="O96" s="76">
        <f t="shared" si="349"/>
        <v>174389</v>
      </c>
      <c r="P96" s="39">
        <f t="shared" si="349"/>
        <v>167929</v>
      </c>
      <c r="R96" s="43">
        <f t="shared" si="350"/>
        <v>186593</v>
      </c>
      <c r="S96" s="39">
        <f t="shared" si="350"/>
        <v>204443</v>
      </c>
      <c r="T96" s="76">
        <f t="shared" si="350"/>
        <v>184971</v>
      </c>
      <c r="U96" s="39">
        <f t="shared" si="350"/>
        <v>179292</v>
      </c>
      <c r="W96" s="9" t="s">
        <v>151</v>
      </c>
      <c r="X96" s="43">
        <f t="shared" si="351"/>
        <v>162573</v>
      </c>
      <c r="Y96" s="39">
        <f t="shared" si="351"/>
        <v>161383</v>
      </c>
      <c r="Z96" s="76">
        <f t="shared" si="351"/>
        <v>157021</v>
      </c>
      <c r="AA96" s="39">
        <f t="shared" si="351"/>
        <v>149488</v>
      </c>
    </row>
    <row r="97" spans="1:27" x14ac:dyDescent="0.25">
      <c r="A97" s="9" t="s">
        <v>50</v>
      </c>
      <c r="B97" s="43">
        <f>B54-B62</f>
        <v>24073</v>
      </c>
      <c r="C97" s="39">
        <f>C54-C62</f>
        <v>26481</v>
      </c>
      <c r="D97" s="76">
        <f>D54-D62</f>
        <v>28889</v>
      </c>
      <c r="E97" s="39">
        <f>E54-E62</f>
        <v>31296</v>
      </c>
      <c r="G97" s="43">
        <f>G54-G62</f>
        <v>24220</v>
      </c>
      <c r="H97" s="39">
        <f>H54-H62</f>
        <v>29065</v>
      </c>
      <c r="I97" s="76">
        <f>I54-I62</f>
        <v>29065</v>
      </c>
      <c r="J97" s="39">
        <f>J54-J62</f>
        <v>31487</v>
      </c>
      <c r="L97" s="9" t="s">
        <v>50</v>
      </c>
      <c r="M97" s="43">
        <f>M54-M62</f>
        <v>24220</v>
      </c>
      <c r="N97" s="39">
        <f>N54-N62</f>
        <v>29065</v>
      </c>
      <c r="O97" s="76">
        <f>O54-O62</f>
        <v>29065</v>
      </c>
      <c r="P97" s="39">
        <f>P54-P62</f>
        <v>31487</v>
      </c>
      <c r="R97" s="43">
        <f>R54-R62</f>
        <v>24339</v>
      </c>
      <c r="S97" s="39">
        <f>S54-S62</f>
        <v>29206</v>
      </c>
      <c r="T97" s="76">
        <f>T54-T62</f>
        <v>29206</v>
      </c>
      <c r="U97" s="39">
        <f>U54-U62</f>
        <v>31640</v>
      </c>
      <c r="W97" s="9" t="s">
        <v>50</v>
      </c>
      <c r="X97" s="43">
        <f>X54-X62</f>
        <v>31722</v>
      </c>
      <c r="Y97" s="39">
        <f>Y54-Y62</f>
        <v>34894</v>
      </c>
      <c r="Z97" s="76">
        <f>Z54-Z62</f>
        <v>38067</v>
      </c>
      <c r="AA97" s="39">
        <f>AA54-AA62</f>
        <v>41238</v>
      </c>
    </row>
    <row r="98" spans="1:27" x14ac:dyDescent="0.25">
      <c r="A98" s="9" t="s">
        <v>152</v>
      </c>
      <c r="B98" s="43">
        <f>B96+B97</f>
        <v>192590</v>
      </c>
      <c r="C98" s="39">
        <f t="shared" ref="C98:E98" si="352">C96+C97</f>
        <v>194194</v>
      </c>
      <c r="D98" s="76">
        <f t="shared" si="352"/>
        <v>192591</v>
      </c>
      <c r="E98" s="39">
        <f t="shared" si="352"/>
        <v>187775</v>
      </c>
      <c r="G98" s="43">
        <f t="shared" ref="G98" si="353">G96+G97</f>
        <v>201838</v>
      </c>
      <c r="H98" s="39">
        <f t="shared" ref="H98" si="354">H96+H97</f>
        <v>222831</v>
      </c>
      <c r="I98" s="76">
        <f t="shared" ref="I98" si="355">I96+I97</f>
        <v>203454</v>
      </c>
      <c r="J98" s="39">
        <f t="shared" ref="J98" si="356">J96+J97</f>
        <v>199416</v>
      </c>
      <c r="L98" s="9" t="s">
        <v>152</v>
      </c>
      <c r="M98" s="43">
        <f t="shared" ref="M98" si="357">M96+M97</f>
        <v>201838</v>
      </c>
      <c r="N98" s="39">
        <f t="shared" ref="N98" si="358">N96+N97</f>
        <v>222831</v>
      </c>
      <c r="O98" s="76">
        <f t="shared" ref="O98" si="359">O96+O97</f>
        <v>203454</v>
      </c>
      <c r="P98" s="39">
        <f t="shared" ref="P98" si="360">P96+P97</f>
        <v>199416</v>
      </c>
      <c r="R98" s="43">
        <f t="shared" ref="R98" si="361">R96+R97</f>
        <v>210932</v>
      </c>
      <c r="S98" s="39">
        <f t="shared" ref="S98" si="362">S96+S97</f>
        <v>233649</v>
      </c>
      <c r="T98" s="76">
        <f t="shared" ref="T98" si="363">T96+T97</f>
        <v>214177</v>
      </c>
      <c r="U98" s="39">
        <f t="shared" ref="U98" si="364">U96+U97</f>
        <v>210932</v>
      </c>
      <c r="W98" s="9" t="s">
        <v>152</v>
      </c>
      <c r="X98" s="43">
        <f t="shared" ref="X98" si="365">X96+X97</f>
        <v>194295</v>
      </c>
      <c r="Y98" s="39">
        <f t="shared" ref="Y98" si="366">Y96+Y97</f>
        <v>196277</v>
      </c>
      <c r="Z98" s="76">
        <f t="shared" ref="Z98" si="367">Z96+Z97</f>
        <v>195088</v>
      </c>
      <c r="AA98" s="39">
        <f t="shared" ref="AA98" si="368">AA96+AA97</f>
        <v>190726</v>
      </c>
    </row>
    <row r="99" spans="1:27" x14ac:dyDescent="0.25">
      <c r="A99" s="9" t="s">
        <v>153</v>
      </c>
      <c r="B99" s="58">
        <f>B94/B52</f>
        <v>0.86999975076639335</v>
      </c>
      <c r="C99" s="67">
        <f t="shared" ref="C99:E99" si="369">C94/C52</f>
        <v>0.84999762095193643</v>
      </c>
      <c r="D99" s="79">
        <f t="shared" si="369"/>
        <v>0.82999983384426224</v>
      </c>
      <c r="E99" s="67">
        <f t="shared" si="369"/>
        <v>0.80999963573549794</v>
      </c>
      <c r="G99" s="58">
        <f t="shared" ref="G99:J99" si="370">G94/G52</f>
        <v>0.87000034681107219</v>
      </c>
      <c r="H99" s="67">
        <f t="shared" si="370"/>
        <v>0.85000020643499152</v>
      </c>
      <c r="I99" s="79">
        <f t="shared" si="370"/>
        <v>0.82999872010305231</v>
      </c>
      <c r="J99" s="67">
        <f t="shared" si="370"/>
        <v>0.80999883761035552</v>
      </c>
      <c r="L99" s="9" t="s">
        <v>153</v>
      </c>
      <c r="M99" s="58">
        <f t="shared" ref="M99:P99" si="371">M94/M52</f>
        <v>0.87000034681107219</v>
      </c>
      <c r="N99" s="67">
        <f t="shared" si="371"/>
        <v>0.85000020643499152</v>
      </c>
      <c r="O99" s="79">
        <f t="shared" si="371"/>
        <v>0.82999872010305231</v>
      </c>
      <c r="P99" s="67">
        <f t="shared" si="371"/>
        <v>0.80999883761035552</v>
      </c>
      <c r="R99" s="58">
        <f t="shared" ref="R99:U99" si="372">R94/R52</f>
        <v>0.87999921112121859</v>
      </c>
      <c r="S99" s="67">
        <f t="shared" si="372"/>
        <v>0.8600007806609733</v>
      </c>
      <c r="T99" s="79">
        <f t="shared" si="372"/>
        <v>0.83999942477612488</v>
      </c>
      <c r="U99" s="67">
        <f t="shared" si="372"/>
        <v>0.81999920353629885</v>
      </c>
      <c r="W99" s="9" t="s">
        <v>153</v>
      </c>
      <c r="X99" s="58">
        <f t="shared" ref="X99:AA99" si="373">X94/X52</f>
        <v>0.85999984868392843</v>
      </c>
      <c r="Y99" s="67">
        <f t="shared" si="373"/>
        <v>0.83999926634615163</v>
      </c>
      <c r="Z99" s="79">
        <f t="shared" si="373"/>
        <v>0.81999684758051805</v>
      </c>
      <c r="AA99" s="67">
        <f t="shared" si="373"/>
        <v>0.79999883602954158</v>
      </c>
    </row>
    <row r="100" spans="1:27" x14ac:dyDescent="0.25">
      <c r="A100" s="9" t="s">
        <v>154</v>
      </c>
      <c r="B100" s="58">
        <f>B95/B52</f>
        <v>0.63000024923360665</v>
      </c>
      <c r="C100" s="67">
        <f t="shared" ref="C100:E100" si="374">C95/C52</f>
        <v>0.59999818739195154</v>
      </c>
      <c r="D100" s="79">
        <f t="shared" si="374"/>
        <v>0.56999933537704894</v>
      </c>
      <c r="E100" s="67">
        <f t="shared" si="374"/>
        <v>0.53999911809646872</v>
      </c>
      <c r="G100" s="58">
        <f t="shared" ref="G100:J100" si="375">G95/G52</f>
        <v>0.64000019817775555</v>
      </c>
      <c r="H100" s="67">
        <f t="shared" si="375"/>
        <v>0.61000094960096118</v>
      </c>
      <c r="I100" s="79">
        <f t="shared" si="375"/>
        <v>0.57999975227801015</v>
      </c>
      <c r="J100" s="67">
        <f t="shared" si="375"/>
        <v>0.54999895194376325</v>
      </c>
      <c r="L100" s="9" t="s">
        <v>154</v>
      </c>
      <c r="M100" s="58">
        <f t="shared" ref="M100:P100" si="376">M95/M52</f>
        <v>0.64000019817775555</v>
      </c>
      <c r="N100" s="67">
        <f t="shared" si="376"/>
        <v>0.61000094960096118</v>
      </c>
      <c r="O100" s="79">
        <f t="shared" si="376"/>
        <v>0.57999975227801015</v>
      </c>
      <c r="P100" s="67">
        <f t="shared" si="376"/>
        <v>0.54999895194376325</v>
      </c>
      <c r="R100" s="58">
        <f t="shared" ref="R100:U100" si="377">R95/R52</f>
        <v>0.65999817571781805</v>
      </c>
      <c r="S100" s="67">
        <f t="shared" si="377"/>
        <v>0.63000162295307616</v>
      </c>
      <c r="T100" s="79">
        <f t="shared" si="377"/>
        <v>0.59999958912580353</v>
      </c>
      <c r="U100" s="67">
        <f t="shared" si="377"/>
        <v>0.56999872945076246</v>
      </c>
      <c r="W100" s="9" t="s">
        <v>154</v>
      </c>
      <c r="X100" s="58">
        <f t="shared" ref="X100:AA100" si="378">X95/X52</f>
        <v>0.62999941995505915</v>
      </c>
      <c r="Y100" s="67">
        <f t="shared" si="378"/>
        <v>0.59999816586537913</v>
      </c>
      <c r="Z100" s="79">
        <f t="shared" si="378"/>
        <v>0.56999737298376507</v>
      </c>
      <c r="AA100" s="67">
        <f t="shared" si="378"/>
        <v>0.5399988748285568</v>
      </c>
    </row>
    <row r="101" spans="1:27" x14ac:dyDescent="0.25">
      <c r="A101" s="9" t="s">
        <v>155</v>
      </c>
      <c r="B101" s="58">
        <f>B96/B52</f>
        <v>0.42000099693442666</v>
      </c>
      <c r="C101" s="67">
        <f t="shared" ref="C101:E101" si="379">C96/C52</f>
        <v>0.37999741703353096</v>
      </c>
      <c r="D101" s="79">
        <f t="shared" si="379"/>
        <v>0.34000033231147553</v>
      </c>
      <c r="E101" s="67">
        <f t="shared" si="379"/>
        <v>0.29999865797288722</v>
      </c>
      <c r="G101" s="58">
        <f t="shared" ref="G101:J101" si="380">G96/G52</f>
        <v>0.43999920728897784</v>
      </c>
      <c r="H101" s="67">
        <f t="shared" si="380"/>
        <v>0.4000008257399662</v>
      </c>
      <c r="I101" s="79">
        <f t="shared" si="380"/>
        <v>0.3599999174260034</v>
      </c>
      <c r="J101" s="67">
        <f t="shared" si="380"/>
        <v>0.31999824688774936</v>
      </c>
      <c r="L101" s="9" t="s">
        <v>155</v>
      </c>
      <c r="M101" s="58">
        <f t="shared" ref="M101:P101" si="381">M96/M52</f>
        <v>0.43999920728897784</v>
      </c>
      <c r="N101" s="67">
        <f t="shared" si="381"/>
        <v>0.4000008257399662</v>
      </c>
      <c r="O101" s="79">
        <f t="shared" si="381"/>
        <v>0.3599999174260034</v>
      </c>
      <c r="P101" s="67">
        <f t="shared" si="381"/>
        <v>0.31999824688774936</v>
      </c>
      <c r="R101" s="58">
        <f t="shared" ref="R101:U101" si="382">R96/R52</f>
        <v>0.45999768266857971</v>
      </c>
      <c r="S101" s="67">
        <f t="shared" si="382"/>
        <v>0.42000176675904488</v>
      </c>
      <c r="T101" s="79">
        <f t="shared" si="382"/>
        <v>0.37999905498934811</v>
      </c>
      <c r="U101" s="67">
        <f t="shared" si="382"/>
        <v>0.33999897597524137</v>
      </c>
      <c r="W101" s="9" t="s">
        <v>155</v>
      </c>
      <c r="X101" s="58">
        <f t="shared" ref="X101:AA101" si="383">X96/X52</f>
        <v>0.40999846161993941</v>
      </c>
      <c r="Y101" s="67">
        <f t="shared" si="383"/>
        <v>0.36999768440504111</v>
      </c>
      <c r="Z101" s="79">
        <f t="shared" si="383"/>
        <v>0.32999737298376502</v>
      </c>
      <c r="AA101" s="67">
        <f t="shared" si="383"/>
        <v>0.28999935981624786</v>
      </c>
    </row>
    <row r="102" spans="1:27" x14ac:dyDescent="0.25">
      <c r="A102" s="19" t="s">
        <v>156</v>
      </c>
      <c r="B102" s="59">
        <f>B97/B52</f>
        <v>5.9998006131146725E-2</v>
      </c>
      <c r="C102" s="68">
        <f t="shared" ref="C102:E102" si="384">C97/C52</f>
        <v>5.9999592163189105E-2</v>
      </c>
      <c r="D102" s="80">
        <f t="shared" si="384"/>
        <v>6.0000913856557751E-2</v>
      </c>
      <c r="E102" s="68">
        <f t="shared" si="384"/>
        <v>6.0000115030895383E-2</v>
      </c>
      <c r="G102" s="59">
        <f t="shared" ref="G102:J102" si="385">G97/G52</f>
        <v>5.9998315489077927E-2</v>
      </c>
      <c r="H102" s="68">
        <f t="shared" si="385"/>
        <v>6.000033029598649E-2</v>
      </c>
      <c r="I102" s="80">
        <f t="shared" si="385"/>
        <v>6.000033029598649E-2</v>
      </c>
      <c r="J102" s="68">
        <f t="shared" si="385"/>
        <v>6.0000266777951186E-2</v>
      </c>
      <c r="L102" s="19" t="s">
        <v>156</v>
      </c>
      <c r="M102" s="59">
        <f t="shared" ref="M102:P102" si="386">M97/M52</f>
        <v>5.9998315489077927E-2</v>
      </c>
      <c r="N102" s="68">
        <f t="shared" si="386"/>
        <v>6.000033029598649E-2</v>
      </c>
      <c r="O102" s="80">
        <f t="shared" si="386"/>
        <v>6.000033029598649E-2</v>
      </c>
      <c r="P102" s="68">
        <f t="shared" si="386"/>
        <v>6.0000266777951186E-2</v>
      </c>
      <c r="R102" s="59">
        <f t="shared" ref="R102:U102" si="387">R97/R52</f>
        <v>6.0001627062486594E-2</v>
      </c>
      <c r="S102" s="68">
        <f t="shared" si="387"/>
        <v>5.9999958912580351E-2</v>
      </c>
      <c r="T102" s="80">
        <f t="shared" si="387"/>
        <v>5.9999958912580351E-2</v>
      </c>
      <c r="U102" s="68">
        <f t="shared" si="387"/>
        <v>6.0000265487900391E-2</v>
      </c>
      <c r="W102" s="19" t="s">
        <v>156</v>
      </c>
      <c r="X102" s="59">
        <f t="shared" ref="X102:AA102" si="388">X97/X52</f>
        <v>8.0000807019048173E-2</v>
      </c>
      <c r="Y102" s="68">
        <f t="shared" si="388"/>
        <v>8.0000366826924185E-2</v>
      </c>
      <c r="Z102" s="80">
        <f t="shared" si="388"/>
        <v>8.0002101612987972E-2</v>
      </c>
      <c r="AA102" s="68">
        <f t="shared" si="388"/>
        <v>7.9999689607877747E-2</v>
      </c>
    </row>
    <row r="103" spans="1:27" x14ac:dyDescent="0.25">
      <c r="A103" s="18" t="s">
        <v>157</v>
      </c>
      <c r="B103" s="62">
        <f>(C13+B13)/2/(B56-B61)*365</f>
        <v>613.65186391796624</v>
      </c>
      <c r="C103" s="71">
        <f t="shared" ref="C103:E103" si="389">(D13+C13)/2/(C56-C61)*365</f>
        <v>470.16418514322709</v>
      </c>
      <c r="D103" s="83">
        <f t="shared" si="389"/>
        <v>318.01449425867133</v>
      </c>
      <c r="E103" s="71">
        <f t="shared" si="389"/>
        <v>155.10150772348817</v>
      </c>
      <c r="G103" s="62">
        <f t="shared" ref="G103:J103" si="390">(H13+G13)/2/(G56-G61)*365</f>
        <v>1080.1629357715522</v>
      </c>
      <c r="H103" s="71">
        <f t="shared" si="390"/>
        <v>731.45561602702446</v>
      </c>
      <c r="I103" s="83">
        <f t="shared" si="390"/>
        <v>515.77442056864027</v>
      </c>
      <c r="J103" s="71">
        <f t="shared" si="390"/>
        <v>236.170333477696</v>
      </c>
      <c r="L103" s="18" t="s">
        <v>157</v>
      </c>
      <c r="M103" s="62">
        <f t="shared" ref="M103:P103" si="391">(N13+M13)/2/(M56-M61)*365</f>
        <v>1080.1629357715522</v>
      </c>
      <c r="N103" s="71">
        <f t="shared" si="391"/>
        <v>731.45561602702446</v>
      </c>
      <c r="O103" s="83">
        <f t="shared" si="391"/>
        <v>515.77442056864027</v>
      </c>
      <c r="P103" s="71">
        <f t="shared" si="391"/>
        <v>236.170333477696</v>
      </c>
      <c r="R103" s="62">
        <f t="shared" ref="R103:U103" si="392">(S13+R13)/2/(R56-R61)*365</f>
        <v>860.07755361985369</v>
      </c>
      <c r="S103" s="71">
        <f t="shared" si="392"/>
        <v>589.98502020132855</v>
      </c>
      <c r="T103" s="83">
        <f t="shared" si="392"/>
        <v>422.69439498733141</v>
      </c>
      <c r="U103" s="71">
        <f t="shared" si="392"/>
        <v>199.48968868520859</v>
      </c>
      <c r="W103" s="18" t="s">
        <v>157</v>
      </c>
      <c r="X103" s="62">
        <f t="shared" ref="X103:Z103" si="393">(Y13+X13)/2/(X56-X61)*365</f>
        <v>841.48984910260174</v>
      </c>
      <c r="Y103" s="71">
        <f t="shared" si="393"/>
        <v>633.64878677875424</v>
      </c>
      <c r="Z103" s="83">
        <f t="shared" si="393"/>
        <v>419.87880698436049</v>
      </c>
      <c r="AA103" s="71">
        <f>(AB13+AA13)/2/(AA56-AA61)*365</f>
        <v>196.8918230758039</v>
      </c>
    </row>
    <row r="104" spans="1:27" x14ac:dyDescent="0.25">
      <c r="A104" s="9" t="s">
        <v>158</v>
      </c>
      <c r="B104" s="63">
        <f>(C14+B14)/2/B55*365</f>
        <v>147.4358559832946</v>
      </c>
      <c r="C104" s="72">
        <f t="shared" ref="C104:E104" si="394">(D14+C14)/2/C55*365</f>
        <v>100.87408425804971</v>
      </c>
      <c r="D104" s="84">
        <f t="shared" si="394"/>
        <v>62.530410739699647</v>
      </c>
      <c r="E104" s="72">
        <f t="shared" si="394"/>
        <v>30.020498668065869</v>
      </c>
      <c r="G104" s="63">
        <f t="shared" ref="G104:J104" si="395">(H14+G14)/2/G55*365</f>
        <v>153.73013359285147</v>
      </c>
      <c r="H104" s="72">
        <f t="shared" si="395"/>
        <v>96.052760336516542</v>
      </c>
      <c r="I104" s="84">
        <f t="shared" si="395"/>
        <v>64.873619770610972</v>
      </c>
      <c r="J104" s="72">
        <f t="shared" si="395"/>
        <v>32.085232781420203</v>
      </c>
      <c r="L104" s="9" t="s">
        <v>158</v>
      </c>
      <c r="M104" s="63">
        <f t="shared" ref="M104:P104" si="396">(N14+M14)/2/M55*365</f>
        <v>153.73013359285147</v>
      </c>
      <c r="N104" s="72">
        <f t="shared" si="396"/>
        <v>96.052760336516542</v>
      </c>
      <c r="O104" s="84">
        <f t="shared" si="396"/>
        <v>64.873619770610972</v>
      </c>
      <c r="P104" s="72">
        <f t="shared" si="396"/>
        <v>32.085232781420203</v>
      </c>
      <c r="R104" s="63">
        <f t="shared" ref="R104:U104" si="397">(S14+R14)/2/R55*365</f>
        <v>157.56127757536208</v>
      </c>
      <c r="S104" s="72">
        <f t="shared" si="397"/>
        <v>98.093112629220371</v>
      </c>
      <c r="T104" s="84">
        <f t="shared" si="397"/>
        <v>65.97952769517147</v>
      </c>
      <c r="U104" s="72">
        <f t="shared" si="397"/>
        <v>32.401065359825282</v>
      </c>
      <c r="W104" s="9" t="s">
        <v>158</v>
      </c>
      <c r="X104" s="63">
        <f t="shared" ref="X104:Z104" si="398">(Y14+X14)/2/X55*365</f>
        <v>151.22982033753544</v>
      </c>
      <c r="Y104" s="72">
        <f t="shared" si="398"/>
        <v>103.01706639229216</v>
      </c>
      <c r="Z104" s="84">
        <f t="shared" si="398"/>
        <v>63.366589135388502</v>
      </c>
      <c r="AA104" s="72">
        <f>(AB14+AA14)/2/AA55*365</f>
        <v>29.806191877265803</v>
      </c>
    </row>
    <row r="105" spans="1:27" x14ac:dyDescent="0.25">
      <c r="A105" s="9" t="s">
        <v>159</v>
      </c>
      <c r="B105" s="63">
        <f>(C15+B15)/2/B55*365</f>
        <v>281.8248459129029</v>
      </c>
      <c r="C105" s="72">
        <f t="shared" ref="C105:E105" si="399">(D15+C15)/2/C55*365</f>
        <v>190.912937730946</v>
      </c>
      <c r="D105" s="84">
        <f t="shared" si="399"/>
        <v>115.91943219124899</v>
      </c>
      <c r="E105" s="72">
        <f t="shared" si="399"/>
        <v>52.224567121407809</v>
      </c>
      <c r="G105" s="63">
        <f t="shared" ref="G105:J105" si="400">(H15+G15)/2/G55*365</f>
        <v>279.33043439794744</v>
      </c>
      <c r="H105" s="72">
        <f t="shared" si="400"/>
        <v>170.79596271293681</v>
      </c>
      <c r="I105" s="84">
        <f t="shared" si="400"/>
        <v>110.21348244193392</v>
      </c>
      <c r="J105" s="72">
        <f t="shared" si="400"/>
        <v>47.525950107946585</v>
      </c>
      <c r="L105" s="9" t="s">
        <v>159</v>
      </c>
      <c r="M105" s="63">
        <f t="shared" ref="M105:P105" si="401">(N15+M15)/2/M55*365</f>
        <v>279.33043439794744</v>
      </c>
      <c r="N105" s="72">
        <f t="shared" si="401"/>
        <v>170.79596271293681</v>
      </c>
      <c r="O105" s="84">
        <f t="shared" si="401"/>
        <v>110.21348244193392</v>
      </c>
      <c r="P105" s="72">
        <f t="shared" si="401"/>
        <v>47.525950107946585</v>
      </c>
      <c r="R105" s="63">
        <f t="shared" ref="R105:U105" si="402">(S15+R15)/2/R55*365</f>
        <v>285.38968042489171</v>
      </c>
      <c r="S105" s="72">
        <f t="shared" si="402"/>
        <v>173.72127979532917</v>
      </c>
      <c r="T105" s="84">
        <f t="shared" si="402"/>
        <v>111.41100816988143</v>
      </c>
      <c r="U105" s="72">
        <f t="shared" si="402"/>
        <v>47.326538113247743</v>
      </c>
      <c r="W105" s="9" t="s">
        <v>159</v>
      </c>
      <c r="X105" s="63">
        <f t="shared" ref="X105:Z105" si="403">(Y15+X15)/2/X55*365</f>
        <v>290.66244439139047</v>
      </c>
      <c r="Y105" s="72">
        <f t="shared" si="403"/>
        <v>196.22543770375384</v>
      </c>
      <c r="Z105" s="84">
        <f t="shared" si="403"/>
        <v>118.44906549228426</v>
      </c>
      <c r="AA105" s="72">
        <f>(AB15+AA15)/2/AA55*365</f>
        <v>52.523082379187571</v>
      </c>
    </row>
    <row r="106" spans="1:27" x14ac:dyDescent="0.25">
      <c r="A106" s="9" t="s">
        <v>160</v>
      </c>
      <c r="B106" s="63">
        <f>(B41+B42)/(B56+B57)*365</f>
        <v>1104.670139321586</v>
      </c>
      <c r="C106" s="72">
        <f t="shared" ref="C106:E106" si="404">(C41+C42)/(C56+C57)*365</f>
        <v>1030.6707141238749</v>
      </c>
      <c r="D106" s="84">
        <f t="shared" si="404"/>
        <v>959.6624954566696</v>
      </c>
      <c r="E106" s="72">
        <f t="shared" si="404"/>
        <v>889.6309801203397</v>
      </c>
      <c r="G106" s="63">
        <f t="shared" ref="G106:J106" si="405">(G41+G42)/(G56+G57)*365</f>
        <v>1358.9019019570064</v>
      </c>
      <c r="H106" s="72">
        <f t="shared" si="405"/>
        <v>1261.314950145538</v>
      </c>
      <c r="I106" s="84">
        <f t="shared" si="405"/>
        <v>1170.7700969306848</v>
      </c>
      <c r="J106" s="72">
        <f t="shared" si="405"/>
        <v>1083.9874312210693</v>
      </c>
      <c r="L106" s="9" t="s">
        <v>160</v>
      </c>
      <c r="M106" s="63">
        <f t="shared" ref="M106:P106" si="406">(M41+M42)/(M56+M57)*365</f>
        <v>1361.6948336131677</v>
      </c>
      <c r="N106" s="72">
        <f t="shared" si="406"/>
        <v>1263.8014801511117</v>
      </c>
      <c r="O106" s="84">
        <f t="shared" si="406"/>
        <v>1172.9928873708609</v>
      </c>
      <c r="P106" s="72">
        <f t="shared" si="406"/>
        <v>1085.9696936012767</v>
      </c>
      <c r="R106" s="63">
        <f t="shared" ref="R106:U106" si="407">(R41+R42)/(R56+R57)*365</f>
        <v>1416.9938368828323</v>
      </c>
      <c r="S106" s="72">
        <f t="shared" si="407"/>
        <v>1318.5298347251755</v>
      </c>
      <c r="T106" s="84">
        <f t="shared" si="407"/>
        <v>1227.5348541867045</v>
      </c>
      <c r="U106" s="72">
        <f t="shared" si="407"/>
        <v>1140.616347977244</v>
      </c>
      <c r="W106" s="9" t="s">
        <v>160</v>
      </c>
      <c r="X106" s="63">
        <f t="shared" ref="X106:AA106" si="408">(X41+X42)/(X56+X57)*365</f>
        <v>830.27558509028552</v>
      </c>
      <c r="Y106" s="72">
        <f t="shared" si="408"/>
        <v>777.70660080451864</v>
      </c>
      <c r="Z106" s="84">
        <f t="shared" si="408"/>
        <v>727.02755715899434</v>
      </c>
      <c r="AA106" s="72">
        <f t="shared" si="408"/>
        <v>676.82303169581564</v>
      </c>
    </row>
    <row r="107" spans="1:27" x14ac:dyDescent="0.25">
      <c r="A107" s="9" t="s">
        <v>161</v>
      </c>
      <c r="B107" s="63">
        <f>(B17+B18)/B52*365</f>
        <v>48.358883931909375</v>
      </c>
      <c r="C107" s="72">
        <f t="shared" ref="C107:E107" si="409">(C17+C18)/C52*365</f>
        <v>45.581892498748168</v>
      </c>
      <c r="D107" s="84">
        <f t="shared" si="409"/>
        <v>42.058586513138764</v>
      </c>
      <c r="E107" s="72">
        <f t="shared" si="409"/>
        <v>37.884917340715759</v>
      </c>
      <c r="G107" s="63">
        <f t="shared" ref="G107:J107" si="410">(G17+G18)/G52*365</f>
        <v>93.49735432696356</v>
      </c>
      <c r="H107" s="72">
        <f t="shared" si="410"/>
        <v>86.999199032232767</v>
      </c>
      <c r="I107" s="84">
        <f t="shared" si="410"/>
        <v>79.283484787805477</v>
      </c>
      <c r="J107" s="72">
        <f t="shared" si="410"/>
        <v>70.537690960610234</v>
      </c>
      <c r="L107" s="9" t="s">
        <v>161</v>
      </c>
      <c r="M107" s="63">
        <f t="shared" ref="M107:P107" si="411">(M17+M18)/M52*365</f>
        <v>86.357901594835482</v>
      </c>
      <c r="N107" s="72">
        <f t="shared" si="411"/>
        <v>80.164311931529639</v>
      </c>
      <c r="O107" s="84">
        <f t="shared" si="411"/>
        <v>72.823834571255162</v>
      </c>
      <c r="P107" s="72">
        <f t="shared" si="411"/>
        <v>64.517894131075622</v>
      </c>
      <c r="R107" s="63">
        <f t="shared" ref="R107:U107" si="412">(R17+R18)/R52*365</f>
        <v>110.29570628070773</v>
      </c>
      <c r="S107" s="72">
        <f t="shared" si="412"/>
        <v>100.9156947779944</v>
      </c>
      <c r="T107" s="84">
        <f t="shared" si="412"/>
        <v>90.294134565408086</v>
      </c>
      <c r="U107" s="72">
        <f t="shared" si="412"/>
        <v>78.686688247040294</v>
      </c>
      <c r="W107" s="9" t="s">
        <v>161</v>
      </c>
      <c r="X107" s="63">
        <f>(X17+X18)/X52*365</f>
        <v>29.723274785696859</v>
      </c>
      <c r="Y107" s="72">
        <f t="shared" ref="Y107:AA107" si="413">(Y17+Y18)/Y52*365</f>
        <v>39.700600449821515</v>
      </c>
      <c r="Z107" s="84">
        <f t="shared" si="413"/>
        <v>36.69752535070667</v>
      </c>
      <c r="AA107" s="72">
        <f t="shared" si="413"/>
        <v>33.128325803091123</v>
      </c>
    </row>
    <row r="108" spans="1:27" x14ac:dyDescent="0.25">
      <c r="A108" s="9" t="s">
        <v>162</v>
      </c>
      <c r="B108" s="63">
        <f>B103+B104+B105</f>
        <v>1042.9125658141638</v>
      </c>
      <c r="C108" s="72">
        <f t="shared" ref="C108:E108" si="414">C103+C104+C105</f>
        <v>761.95120713222286</v>
      </c>
      <c r="D108" s="84">
        <f t="shared" si="414"/>
        <v>496.46433718961993</v>
      </c>
      <c r="E108" s="72">
        <f t="shared" si="414"/>
        <v>237.34657351296184</v>
      </c>
      <c r="G108" s="63">
        <f t="shared" ref="G108:J108" si="415">G103+G104+G105</f>
        <v>1513.2235037623509</v>
      </c>
      <c r="H108" s="72">
        <f t="shared" si="415"/>
        <v>998.30433907647773</v>
      </c>
      <c r="I108" s="84">
        <f t="shared" si="415"/>
        <v>690.86152278118516</v>
      </c>
      <c r="J108" s="72">
        <f t="shared" si="415"/>
        <v>315.78151636706281</v>
      </c>
      <c r="L108" s="9" t="s">
        <v>162</v>
      </c>
      <c r="M108" s="63">
        <f t="shared" ref="M108:P108" si="416">M103+M104+M105</f>
        <v>1513.2235037623509</v>
      </c>
      <c r="N108" s="72">
        <f t="shared" si="416"/>
        <v>998.30433907647773</v>
      </c>
      <c r="O108" s="84">
        <f t="shared" si="416"/>
        <v>690.86152278118516</v>
      </c>
      <c r="P108" s="72">
        <f t="shared" si="416"/>
        <v>315.78151636706281</v>
      </c>
      <c r="R108" s="63">
        <f t="shared" ref="R108:U108" si="417">R103+R104+R105</f>
        <v>1303.0285116201076</v>
      </c>
      <c r="S108" s="72">
        <f t="shared" si="417"/>
        <v>861.79941262587818</v>
      </c>
      <c r="T108" s="84">
        <f t="shared" si="417"/>
        <v>600.08493085238433</v>
      </c>
      <c r="U108" s="72">
        <f t="shared" si="417"/>
        <v>279.21729215828162</v>
      </c>
      <c r="W108" s="9" t="s">
        <v>162</v>
      </c>
      <c r="X108" s="63">
        <f t="shared" ref="X108:AA108" si="418">X103+X104+X105</f>
        <v>1283.3821138315277</v>
      </c>
      <c r="Y108" s="72">
        <f t="shared" si="418"/>
        <v>932.89129087480023</v>
      </c>
      <c r="Z108" s="84">
        <f t="shared" si="418"/>
        <v>601.69446161203325</v>
      </c>
      <c r="AA108" s="72">
        <f t="shared" si="418"/>
        <v>279.22109733225727</v>
      </c>
    </row>
    <row r="109" spans="1:27" x14ac:dyDescent="0.25">
      <c r="A109" s="9" t="s">
        <v>163</v>
      </c>
      <c r="B109" s="63">
        <f>B108-B106+B107</f>
        <v>-13.398689575512819</v>
      </c>
      <c r="C109" s="72">
        <f t="shared" ref="C109:E109" si="419">C108-C106+C107</f>
        <v>-223.13761449290382</v>
      </c>
      <c r="D109" s="84">
        <f t="shared" si="419"/>
        <v>-421.1395717539109</v>
      </c>
      <c r="E109" s="72">
        <f t="shared" si="419"/>
        <v>-614.39948926666204</v>
      </c>
      <c r="G109" s="63">
        <f t="shared" ref="G109:J109" si="420">G108-G106+G107</f>
        <v>247.81895613230802</v>
      </c>
      <c r="H109" s="72">
        <f t="shared" si="420"/>
        <v>-176.01141203682749</v>
      </c>
      <c r="I109" s="84">
        <f t="shared" si="420"/>
        <v>-400.62508936169411</v>
      </c>
      <c r="J109" s="72">
        <f t="shared" si="420"/>
        <v>-697.66822389339632</v>
      </c>
      <c r="L109" s="9" t="s">
        <v>163</v>
      </c>
      <c r="M109" s="63">
        <f t="shared" ref="M109:P109" si="421">M108-M106+M107</f>
        <v>237.88657174401868</v>
      </c>
      <c r="N109" s="72">
        <f t="shared" si="421"/>
        <v>-185.33282914310433</v>
      </c>
      <c r="O109" s="84">
        <f t="shared" si="421"/>
        <v>-409.30753001842061</v>
      </c>
      <c r="P109" s="72">
        <f t="shared" si="421"/>
        <v>-705.67028310313833</v>
      </c>
      <c r="R109" s="63">
        <f t="shared" ref="R109:U109" si="422">R108-R106+R107</f>
        <v>-3.6696189820169849</v>
      </c>
      <c r="S109" s="72">
        <f t="shared" si="422"/>
        <v>-355.81472732130294</v>
      </c>
      <c r="T109" s="84">
        <f t="shared" si="422"/>
        <v>-537.15578876891209</v>
      </c>
      <c r="U109" s="72">
        <f t="shared" si="422"/>
        <v>-782.71236757192207</v>
      </c>
      <c r="W109" s="9" t="s">
        <v>163</v>
      </c>
      <c r="X109" s="63">
        <f t="shared" ref="X109:AA109" si="423">X108-X106+X107</f>
        <v>482.82980352693903</v>
      </c>
      <c r="Y109" s="72">
        <f t="shared" si="423"/>
        <v>194.8852905201031</v>
      </c>
      <c r="Z109" s="84">
        <f t="shared" si="423"/>
        <v>-88.63557019625442</v>
      </c>
      <c r="AA109" s="72">
        <f t="shared" si="423"/>
        <v>-364.47360856046726</v>
      </c>
    </row>
    <row r="110" spans="1:27" x14ac:dyDescent="0.25">
      <c r="A110" s="9" t="s">
        <v>164</v>
      </c>
      <c r="B110" s="64">
        <f>365/B103</f>
        <v>0.59479979033974495</v>
      </c>
      <c r="C110" s="73">
        <f t="shared" ref="C110:E110" si="424">365/C103</f>
        <v>0.7763245511539959</v>
      </c>
      <c r="D110" s="85">
        <f t="shared" si="424"/>
        <v>1.1477464285106165</v>
      </c>
      <c r="E110" s="73">
        <f t="shared" si="424"/>
        <v>2.3532975620760221</v>
      </c>
      <c r="G110" s="64">
        <f t="shared" ref="G110:J110" si="425">365/G103</f>
        <v>0.33791198337988082</v>
      </c>
      <c r="H110" s="73">
        <f t="shared" si="425"/>
        <v>0.49900498677217708</v>
      </c>
      <c r="I110" s="85">
        <f t="shared" si="425"/>
        <v>0.70767371440713989</v>
      </c>
      <c r="J110" s="73">
        <f t="shared" si="425"/>
        <v>1.545494705559497</v>
      </c>
      <c r="L110" s="9" t="s">
        <v>164</v>
      </c>
      <c r="M110" s="64">
        <f t="shared" ref="M110:P110" si="426">365/M103</f>
        <v>0.33791198337988082</v>
      </c>
      <c r="N110" s="73">
        <f t="shared" si="426"/>
        <v>0.49900498677217708</v>
      </c>
      <c r="O110" s="85">
        <f t="shared" si="426"/>
        <v>0.70767371440713989</v>
      </c>
      <c r="P110" s="73">
        <f t="shared" si="426"/>
        <v>1.545494705559497</v>
      </c>
      <c r="R110" s="64">
        <f t="shared" ref="R110:U110" si="427">365/R103</f>
        <v>0.42438033461494873</v>
      </c>
      <c r="S110" s="73">
        <f t="shared" si="427"/>
        <v>0.61865977525233795</v>
      </c>
      <c r="T110" s="85">
        <f t="shared" si="427"/>
        <v>0.86350801980929848</v>
      </c>
      <c r="U110" s="73">
        <f t="shared" si="427"/>
        <v>1.8296685026962167</v>
      </c>
      <c r="W110" s="9" t="s">
        <v>164</v>
      </c>
      <c r="X110" s="64">
        <f t="shared" ref="X110:AA110" si="428">365/X103</f>
        <v>0.43375448959871654</v>
      </c>
      <c r="Y110" s="73">
        <f t="shared" si="428"/>
        <v>0.57602887848255901</v>
      </c>
      <c r="Z110" s="85">
        <f t="shared" si="428"/>
        <v>0.86929845928993366</v>
      </c>
      <c r="AA110" s="73">
        <f t="shared" si="428"/>
        <v>1.8538098449089679</v>
      </c>
    </row>
    <row r="111" spans="1:27" x14ac:dyDescent="0.25">
      <c r="A111" s="9" t="s">
        <v>165</v>
      </c>
      <c r="B111" s="64">
        <f t="shared" ref="B111:E114" si="429">365/B104</f>
        <v>2.4756528699596436</v>
      </c>
      <c r="C111" s="73">
        <f t="shared" si="429"/>
        <v>3.6183723766580131</v>
      </c>
      <c r="D111" s="85">
        <f t="shared" si="429"/>
        <v>5.8371598024426028</v>
      </c>
      <c r="E111" s="73">
        <f t="shared" si="429"/>
        <v>12.158358994491541</v>
      </c>
      <c r="G111" s="64">
        <f t="shared" ref="G111:J111" si="430">365/G104</f>
        <v>2.374290527624785</v>
      </c>
      <c r="H111" s="73">
        <f t="shared" si="430"/>
        <v>3.7999949061457357</v>
      </c>
      <c r="I111" s="85">
        <f t="shared" si="430"/>
        <v>5.6263239401565226</v>
      </c>
      <c r="J111" s="73">
        <f t="shared" si="430"/>
        <v>11.375949879701757</v>
      </c>
      <c r="L111" s="9" t="s">
        <v>165</v>
      </c>
      <c r="M111" s="64">
        <f t="shared" ref="M111:P111" si="431">365/M104</f>
        <v>2.374290527624785</v>
      </c>
      <c r="N111" s="73">
        <f t="shared" si="431"/>
        <v>3.7999949061457357</v>
      </c>
      <c r="O111" s="85">
        <f t="shared" si="431"/>
        <v>5.6263239401565226</v>
      </c>
      <c r="P111" s="73">
        <f t="shared" si="431"/>
        <v>11.375949879701757</v>
      </c>
      <c r="R111" s="64">
        <f t="shared" ref="R111:U111" si="432">365/R104</f>
        <v>2.3165590278069388</v>
      </c>
      <c r="S111" s="73">
        <f t="shared" si="432"/>
        <v>3.7209544097112515</v>
      </c>
      <c r="T111" s="85">
        <f t="shared" si="432"/>
        <v>5.5320189875610692</v>
      </c>
      <c r="U111" s="73">
        <f t="shared" si="432"/>
        <v>11.265061686908934</v>
      </c>
      <c r="W111" s="9" t="s">
        <v>165</v>
      </c>
      <c r="X111" s="64">
        <f t="shared" ref="X111:AA111" si="433">365/X104</f>
        <v>2.4135451538945358</v>
      </c>
      <c r="Y111" s="73">
        <f t="shared" si="433"/>
        <v>3.5431022526895566</v>
      </c>
      <c r="Z111" s="85">
        <f t="shared" si="433"/>
        <v>5.7601332970620236</v>
      </c>
      <c r="AA111" s="73">
        <f t="shared" si="433"/>
        <v>12.245777706289207</v>
      </c>
    </row>
    <row r="112" spans="1:27" x14ac:dyDescent="0.25">
      <c r="A112" s="9" t="s">
        <v>166</v>
      </c>
      <c r="B112" s="64">
        <f t="shared" si="429"/>
        <v>1.2951306646426841</v>
      </c>
      <c r="C112" s="73">
        <f t="shared" si="429"/>
        <v>1.9118662377632849</v>
      </c>
      <c r="D112" s="85">
        <f t="shared" si="429"/>
        <v>3.1487386808262392</v>
      </c>
      <c r="E112" s="73">
        <f t="shared" si="429"/>
        <v>6.989047877629603</v>
      </c>
      <c r="G112" s="64">
        <f t="shared" ref="G112:J112" si="434">365/G105</f>
        <v>1.3066961385238947</v>
      </c>
      <c r="H112" s="73">
        <f t="shared" si="434"/>
        <v>2.1370528565330855</v>
      </c>
      <c r="I112" s="85">
        <f t="shared" si="434"/>
        <v>3.3117545323214026</v>
      </c>
      <c r="J112" s="73">
        <f t="shared" si="434"/>
        <v>7.6800147955163158</v>
      </c>
      <c r="L112" s="9" t="s">
        <v>166</v>
      </c>
      <c r="M112" s="64">
        <f t="shared" ref="M112:P112" si="435">365/M105</f>
        <v>1.3066961385238947</v>
      </c>
      <c r="N112" s="73">
        <f t="shared" si="435"/>
        <v>2.1370528565330855</v>
      </c>
      <c r="O112" s="85">
        <f t="shared" si="435"/>
        <v>3.3117545323214026</v>
      </c>
      <c r="P112" s="73">
        <f t="shared" si="435"/>
        <v>7.6800147955163158</v>
      </c>
      <c r="R112" s="64">
        <f t="shared" ref="R112:U112" si="436">365/R105</f>
        <v>1.2789530422283786</v>
      </c>
      <c r="S112" s="73">
        <f t="shared" si="436"/>
        <v>2.1010667226837558</v>
      </c>
      <c r="T112" s="85">
        <f t="shared" si="436"/>
        <v>3.2761574102573574</v>
      </c>
      <c r="U112" s="73">
        <f t="shared" si="436"/>
        <v>7.7123748017780418</v>
      </c>
      <c r="W112" s="9" t="s">
        <v>166</v>
      </c>
      <c r="X112" s="64">
        <f t="shared" ref="X112:AA112" si="437">365/X105</f>
        <v>1.2557521862319116</v>
      </c>
      <c r="Y112" s="73">
        <f t="shared" si="437"/>
        <v>1.8601054189062332</v>
      </c>
      <c r="Z112" s="85">
        <f t="shared" si="437"/>
        <v>3.0814932855994206</v>
      </c>
      <c r="AA112" s="73">
        <f t="shared" si="437"/>
        <v>6.9493255815586394</v>
      </c>
    </row>
    <row r="113" spans="1:27" x14ac:dyDescent="0.25">
      <c r="A113" s="9" t="s">
        <v>59</v>
      </c>
      <c r="B113" s="64">
        <f t="shared" si="429"/>
        <v>0.3304153765070163</v>
      </c>
      <c r="C113" s="73">
        <f t="shared" si="429"/>
        <v>0.35413832468332962</v>
      </c>
      <c r="D113" s="85">
        <f t="shared" si="429"/>
        <v>0.38034204913500275</v>
      </c>
      <c r="E113" s="73">
        <f t="shared" si="429"/>
        <v>0.41028247459483341</v>
      </c>
      <c r="G113" s="64">
        <f t="shared" ref="G113:J113" si="438">365/G106</f>
        <v>0.26859922668026998</v>
      </c>
      <c r="H113" s="73">
        <f t="shared" si="438"/>
        <v>0.28938053890337551</v>
      </c>
      <c r="I113" s="85">
        <f t="shared" si="438"/>
        <v>0.31176061035116254</v>
      </c>
      <c r="J113" s="73">
        <f t="shared" si="438"/>
        <v>0.33671977136196296</v>
      </c>
      <c r="L113" s="9" t="s">
        <v>59</v>
      </c>
      <c r="M113" s="64">
        <f t="shared" ref="M113:P113" si="439">365/M106</f>
        <v>0.2680483108182885</v>
      </c>
      <c r="N113" s="73">
        <f t="shared" si="439"/>
        <v>0.288811182557214</v>
      </c>
      <c r="O113" s="85">
        <f t="shared" si="439"/>
        <v>0.31116983225542721</v>
      </c>
      <c r="P113" s="73">
        <f t="shared" si="439"/>
        <v>0.33610514377209955</v>
      </c>
      <c r="R113" s="64">
        <f t="shared" ref="R113:U113" si="440">365/R106</f>
        <v>0.25758757060153747</v>
      </c>
      <c r="S113" s="73">
        <f t="shared" si="440"/>
        <v>0.27682346685471693</v>
      </c>
      <c r="T113" s="85">
        <f t="shared" si="440"/>
        <v>0.29734389924254206</v>
      </c>
      <c r="U113" s="73">
        <f t="shared" si="440"/>
        <v>0.32000242732561812</v>
      </c>
      <c r="W113" s="9" t="s">
        <v>59</v>
      </c>
      <c r="X113" s="64">
        <f t="shared" ref="X113:AA113" si="441">365/X106</f>
        <v>0.4396130713157238</v>
      </c>
      <c r="Y113" s="73">
        <f t="shared" si="441"/>
        <v>0.4693286640777079</v>
      </c>
      <c r="Z113" s="85">
        <f t="shared" si="441"/>
        <v>0.50204424358591104</v>
      </c>
      <c r="AA113" s="73">
        <f t="shared" si="441"/>
        <v>0.53928424847699608</v>
      </c>
    </row>
    <row r="114" spans="1:27" x14ac:dyDescent="0.25">
      <c r="A114" s="19" t="s">
        <v>60</v>
      </c>
      <c r="B114" s="60">
        <f t="shared" si="429"/>
        <v>7.5477341560224991</v>
      </c>
      <c r="C114" s="69">
        <f t="shared" si="429"/>
        <v>8.0075657238238662</v>
      </c>
      <c r="D114" s="81">
        <f t="shared" si="429"/>
        <v>8.6783705839942318</v>
      </c>
      <c r="E114" s="69">
        <f t="shared" si="429"/>
        <v>9.6344409760062071</v>
      </c>
      <c r="G114" s="60">
        <f t="shared" ref="G114:J114" si="442">365/G107</f>
        <v>3.9038537788308112</v>
      </c>
      <c r="H114" s="69">
        <f t="shared" si="442"/>
        <v>4.1954409242867783</v>
      </c>
      <c r="I114" s="81">
        <f t="shared" si="442"/>
        <v>4.6037330596263137</v>
      </c>
      <c r="J114" s="69">
        <f t="shared" si="442"/>
        <v>5.1745385343535535</v>
      </c>
      <c r="L114" s="19" t="s">
        <v>60</v>
      </c>
      <c r="M114" s="60">
        <f t="shared" ref="M114:P114" si="443">365/M107</f>
        <v>4.226596446408192</v>
      </c>
      <c r="N114" s="69">
        <f t="shared" si="443"/>
        <v>4.5531482926187365</v>
      </c>
      <c r="O114" s="81">
        <f t="shared" si="443"/>
        <v>5.0120953139711739</v>
      </c>
      <c r="P114" s="69">
        <f t="shared" si="443"/>
        <v>5.6573452205129318</v>
      </c>
      <c r="R114" s="60">
        <f t="shared" ref="R114:U114" si="444">365/R107</f>
        <v>3.3092856676674058</v>
      </c>
      <c r="S114" s="69">
        <f t="shared" si="444"/>
        <v>3.616880414914327</v>
      </c>
      <c r="T114" s="81">
        <f t="shared" si="444"/>
        <v>4.0423445194615377</v>
      </c>
      <c r="U114" s="69">
        <f t="shared" si="444"/>
        <v>4.6386499181928533</v>
      </c>
      <c r="W114" s="19" t="s">
        <v>60</v>
      </c>
      <c r="X114" s="60">
        <f t="shared" ref="X114:AA114" si="445">365/X107</f>
        <v>12.279938957992668</v>
      </c>
      <c r="Y114" s="69">
        <f t="shared" si="445"/>
        <v>9.1938156064246872</v>
      </c>
      <c r="Z114" s="81">
        <f t="shared" si="445"/>
        <v>9.9461747491638786</v>
      </c>
      <c r="AA114" s="69">
        <f t="shared" si="445"/>
        <v>11.017761723592526</v>
      </c>
    </row>
    <row r="115" spans="1:27" x14ac:dyDescent="0.25">
      <c r="A115" s="18" t="s">
        <v>167</v>
      </c>
      <c r="B115" s="55">
        <f>B28-(B7+B23+B24)</f>
        <v>1266614</v>
      </c>
      <c r="C115" s="33">
        <f t="shared" ref="C115:E115" si="446">C28-(C7+C23+C24)</f>
        <v>1297339</v>
      </c>
      <c r="D115" s="75">
        <f t="shared" si="446"/>
        <v>1302442</v>
      </c>
      <c r="E115" s="33">
        <f t="shared" si="446"/>
        <v>1275718</v>
      </c>
      <c r="G115" s="55">
        <f t="shared" ref="G115:J115" si="447">G28-(G7+G23+G24)</f>
        <v>1376193</v>
      </c>
      <c r="H115" s="33">
        <f t="shared" si="447"/>
        <v>1507521</v>
      </c>
      <c r="I115" s="75">
        <f t="shared" si="447"/>
        <v>1425514</v>
      </c>
      <c r="J115" s="33">
        <f t="shared" si="447"/>
        <v>1409960</v>
      </c>
      <c r="L115" s="18" t="s">
        <v>167</v>
      </c>
      <c r="M115" s="55">
        <f t="shared" ref="M115:P115" si="448">M28-(M7+M23+M24)</f>
        <v>1375375</v>
      </c>
      <c r="N115" s="33">
        <f t="shared" si="448"/>
        <v>1505432</v>
      </c>
      <c r="O115" s="75">
        <f t="shared" si="448"/>
        <v>1422334</v>
      </c>
      <c r="P115" s="33">
        <f t="shared" si="448"/>
        <v>1405402</v>
      </c>
      <c r="R115" s="55">
        <f t="shared" ref="R115:U115" si="449">R28-(R7+R23+R24)</f>
        <v>1596591</v>
      </c>
      <c r="S115" s="33">
        <f t="shared" si="449"/>
        <v>1786315</v>
      </c>
      <c r="T115" s="75">
        <f t="shared" si="449"/>
        <v>1713530</v>
      </c>
      <c r="U115" s="33">
        <f t="shared" si="449"/>
        <v>1730161</v>
      </c>
      <c r="W115" s="18" t="s">
        <v>167</v>
      </c>
      <c r="X115" s="55">
        <f t="shared" ref="X115:AA115" si="450">X28-(X7+X23+X24)</f>
        <v>1103310.655882444</v>
      </c>
      <c r="Y115" s="33">
        <f t="shared" si="450"/>
        <v>1148817</v>
      </c>
      <c r="Z115" s="75">
        <f t="shared" si="450"/>
        <v>1131664</v>
      </c>
      <c r="AA115" s="33">
        <f t="shared" si="450"/>
        <v>1084715</v>
      </c>
    </row>
    <row r="116" spans="1:27" x14ac:dyDescent="0.25">
      <c r="A116" s="9" t="s">
        <v>168</v>
      </c>
      <c r="B116" s="64">
        <f>B52/B115</f>
        <v>0.31677369743268274</v>
      </c>
      <c r="C116" s="73">
        <f t="shared" ref="C116:E116" si="451">C52/C115</f>
        <v>0.34019866819697858</v>
      </c>
      <c r="D116" s="85">
        <f t="shared" si="451"/>
        <v>0.36967173970126882</v>
      </c>
      <c r="E116" s="73">
        <f t="shared" si="451"/>
        <v>0.4088670066582113</v>
      </c>
      <c r="G116" s="64">
        <f t="shared" ref="G116" si="452">G52/G115</f>
        <v>0.29332949666216873</v>
      </c>
      <c r="H116" s="73">
        <f t="shared" ref="H116" si="453">H52/H115</f>
        <v>0.32133151047315428</v>
      </c>
      <c r="I116" s="85">
        <f t="shared" ref="I116" si="454">I52/I115</f>
        <v>0.3398170765071406</v>
      </c>
      <c r="J116" s="73">
        <f t="shared" ref="J116" si="455">J52/J115</f>
        <v>0.37219566512525176</v>
      </c>
      <c r="L116" s="9" t="s">
        <v>168</v>
      </c>
      <c r="M116" s="64">
        <f t="shared" ref="M116" si="456">M52/M115</f>
        <v>0.29350395346723623</v>
      </c>
      <c r="N116" s="73">
        <f t="shared" ref="N116" si="457">N52/N115</f>
        <v>0.32177740342971317</v>
      </c>
      <c r="O116" s="85">
        <f t="shared" ref="O116" si="458">O52/O115</f>
        <v>0.34057682654003912</v>
      </c>
      <c r="P116" s="73">
        <f t="shared" ref="P116" si="459">P52/P115</f>
        <v>0.3734027701682508</v>
      </c>
      <c r="R116" s="64">
        <f t="shared" ref="R116" si="460">R52/R115</f>
        <v>0.25406569371867938</v>
      </c>
      <c r="S116" s="73">
        <f t="shared" ref="S116" si="461">S52/S115</f>
        <v>0.27249785172268048</v>
      </c>
      <c r="T116" s="85">
        <f t="shared" ref="T116" si="462">T52/T115</f>
        <v>0.28407264535782856</v>
      </c>
      <c r="U116" s="73">
        <f t="shared" ref="U116" si="463">U52/U115</f>
        <v>0.30478724234334259</v>
      </c>
      <c r="W116" s="9" t="s">
        <v>168</v>
      </c>
      <c r="X116" s="64">
        <f t="shared" ref="X116" si="464">X52/X115</f>
        <v>0.35939197893711694</v>
      </c>
      <c r="Y116" s="73">
        <f t="shared" ref="Y116" si="465">Y52/Y115</f>
        <v>0.37967143592060354</v>
      </c>
      <c r="Z116" s="85">
        <f t="shared" ref="Z116" si="466">Z52/Z115</f>
        <v>0.42046490831200778</v>
      </c>
      <c r="AA116" s="73">
        <f t="shared" ref="AA116" si="467">AA52/AA115</f>
        <v>0.47521883628418526</v>
      </c>
    </row>
    <row r="117" spans="1:27" x14ac:dyDescent="0.25">
      <c r="A117" s="9" t="s">
        <v>169</v>
      </c>
      <c r="B117" s="64">
        <f>B52/B28</f>
        <v>0.26416783806115829</v>
      </c>
      <c r="C117" s="73">
        <f t="shared" ref="C117:E117" si="468">C52/C28</f>
        <v>0.26367173614724654</v>
      </c>
      <c r="D117" s="85">
        <f t="shared" si="468"/>
        <v>0.26576509941158938</v>
      </c>
      <c r="E117" s="73">
        <f t="shared" si="468"/>
        <v>0.2707860910374616</v>
      </c>
      <c r="G117" s="64">
        <f t="shared" ref="G117:J117" si="469">G52/G28</f>
        <v>0.23189050173683215</v>
      </c>
      <c r="H117" s="73">
        <f t="shared" si="469"/>
        <v>0.23020426473865871</v>
      </c>
      <c r="I117" s="85">
        <f t="shared" si="469"/>
        <v>0.23070299514699508</v>
      </c>
      <c r="J117" s="73">
        <f t="shared" si="469"/>
        <v>0.23360010469652032</v>
      </c>
      <c r="L117" s="9" t="s">
        <v>169</v>
      </c>
      <c r="M117" s="64">
        <f t="shared" ref="M117:P117" si="470">M52/M28</f>
        <v>0.23141486054445362</v>
      </c>
      <c r="N117" s="73">
        <f t="shared" si="470"/>
        <v>0.2297507200845367</v>
      </c>
      <c r="O117" s="85">
        <f t="shared" si="470"/>
        <v>0.23026641967456557</v>
      </c>
      <c r="P117" s="73">
        <f t="shared" si="470"/>
        <v>0.23317330228982874</v>
      </c>
      <c r="R117" s="64">
        <f t="shared" ref="R117:U117" si="471">R52/R28</f>
        <v>0.22238395042235731</v>
      </c>
      <c r="S117" s="73">
        <f t="shared" si="471"/>
        <v>0.22021381369860782</v>
      </c>
      <c r="T117" s="85">
        <f t="shared" si="471"/>
        <v>0.22003423690000104</v>
      </c>
      <c r="U117" s="73">
        <f t="shared" si="471"/>
        <v>0.22200036120825423</v>
      </c>
      <c r="W117" s="9" t="s">
        <v>169</v>
      </c>
      <c r="X117" s="64">
        <f t="shared" ref="X117:AA117" si="472">X52/X28</f>
        <v>0.32531399547291917</v>
      </c>
      <c r="Y117" s="73">
        <f t="shared" si="472"/>
        <v>0.32362425210123935</v>
      </c>
      <c r="Z117" s="85">
        <f t="shared" si="472"/>
        <v>0.3250708108854059</v>
      </c>
      <c r="AA117" s="73">
        <f t="shared" si="472"/>
        <v>0.33000032009218655</v>
      </c>
    </row>
    <row r="118" spans="1:27" x14ac:dyDescent="0.25">
      <c r="A118" s="9" t="s">
        <v>51</v>
      </c>
      <c r="B118" s="58">
        <f>B101</f>
        <v>0.42000099693442666</v>
      </c>
      <c r="C118" s="67">
        <f t="shared" ref="C118:E118" si="473">C101</f>
        <v>0.37999741703353096</v>
      </c>
      <c r="D118" s="79">
        <f t="shared" si="473"/>
        <v>0.34000033231147553</v>
      </c>
      <c r="E118" s="67">
        <f t="shared" si="473"/>
        <v>0.29999865797288722</v>
      </c>
      <c r="G118" s="58">
        <f t="shared" ref="G118:J118" si="474">G101</f>
        <v>0.43999920728897784</v>
      </c>
      <c r="H118" s="67">
        <f t="shared" si="474"/>
        <v>0.4000008257399662</v>
      </c>
      <c r="I118" s="79">
        <f t="shared" si="474"/>
        <v>0.3599999174260034</v>
      </c>
      <c r="J118" s="67">
        <f t="shared" si="474"/>
        <v>0.31999824688774936</v>
      </c>
      <c r="L118" s="9" t="s">
        <v>51</v>
      </c>
      <c r="M118" s="58">
        <f t="shared" ref="M118:P118" si="475">M101</f>
        <v>0.43999920728897784</v>
      </c>
      <c r="N118" s="67">
        <f t="shared" si="475"/>
        <v>0.4000008257399662</v>
      </c>
      <c r="O118" s="79">
        <f t="shared" si="475"/>
        <v>0.3599999174260034</v>
      </c>
      <c r="P118" s="67">
        <f t="shared" si="475"/>
        <v>0.31999824688774936</v>
      </c>
      <c r="R118" s="58">
        <f t="shared" ref="R118:U118" si="476">R101</f>
        <v>0.45999768266857971</v>
      </c>
      <c r="S118" s="67">
        <f t="shared" si="476"/>
        <v>0.42000176675904488</v>
      </c>
      <c r="T118" s="79">
        <f t="shared" si="476"/>
        <v>0.37999905498934811</v>
      </c>
      <c r="U118" s="67">
        <f t="shared" si="476"/>
        <v>0.33999897597524137</v>
      </c>
      <c r="W118" s="9" t="s">
        <v>51</v>
      </c>
      <c r="X118" s="58">
        <f t="shared" ref="X118:AA118" si="477">X101</f>
        <v>0.40999846161993941</v>
      </c>
      <c r="Y118" s="67">
        <f t="shared" si="477"/>
        <v>0.36999768440504111</v>
      </c>
      <c r="Z118" s="79">
        <f t="shared" si="477"/>
        <v>0.32999737298376502</v>
      </c>
      <c r="AA118" s="67">
        <f t="shared" si="477"/>
        <v>0.28999935981624786</v>
      </c>
    </row>
    <row r="119" spans="1:27" x14ac:dyDescent="0.25">
      <c r="A119" s="9" t="s">
        <v>52</v>
      </c>
      <c r="B119" s="58">
        <f>B118*B116</f>
        <v>0.13304526872433117</v>
      </c>
      <c r="C119" s="67">
        <f t="shared" ref="C119:E119" si="478">C118*C116</f>
        <v>0.1292746151930991</v>
      </c>
      <c r="D119" s="79">
        <f t="shared" si="478"/>
        <v>0.12568851434459269</v>
      </c>
      <c r="E119" s="67">
        <f t="shared" si="478"/>
        <v>0.12265955328685493</v>
      </c>
      <c r="G119" s="58">
        <f t="shared" ref="G119" si="479">G118*G116</f>
        <v>0.12906474600582912</v>
      </c>
      <c r="H119" s="67">
        <f t="shared" ref="H119" si="480">H118*H116</f>
        <v>0.12853286952553231</v>
      </c>
      <c r="I119" s="79">
        <f t="shared" ref="I119" si="481">I118*I116</f>
        <v>0.1223341194825165</v>
      </c>
      <c r="J119" s="67">
        <f t="shared" ref="J119" si="482">J118*J116</f>
        <v>0.1191019603393004</v>
      </c>
      <c r="L119" s="9" t="s">
        <v>52</v>
      </c>
      <c r="M119" s="58">
        <f t="shared" ref="M119" si="483">M118*M116</f>
        <v>0.12914150686176498</v>
      </c>
      <c r="N119" s="67">
        <f t="shared" ref="N119" si="484">N118*N116</f>
        <v>0.1287112270763475</v>
      </c>
      <c r="O119" s="79">
        <f t="shared" ref="O119" si="485">O118*O116</f>
        <v>0.12260762943162437</v>
      </c>
      <c r="P119" s="67">
        <f t="shared" ref="P119" si="486">P118*P116</f>
        <v>0.11948823183686945</v>
      </c>
      <c r="R119" s="58">
        <f t="shared" ref="R119" si="487">R118*R116</f>
        <v>0.11686963035617765</v>
      </c>
      <c r="S119" s="67">
        <f t="shared" ref="S119" si="488">S118*S116</f>
        <v>0.11444957916157004</v>
      </c>
      <c r="T119" s="79">
        <f t="shared" ref="T119" si="489">T118*T116</f>
        <v>0.10794733678429907</v>
      </c>
      <c r="U119" s="67">
        <f t="shared" ref="U119" si="490">U118*U116</f>
        <v>0.10362735028705421</v>
      </c>
      <c r="W119" s="9" t="s">
        <v>52</v>
      </c>
      <c r="X119" s="58">
        <f t="shared" ref="X119" si="491">X118*X116</f>
        <v>0.14735015848276362</v>
      </c>
      <c r="Y119" s="67">
        <f t="shared" ref="Y119" si="492">Y118*Y116</f>
        <v>0.14047755212536026</v>
      </c>
      <c r="Z119" s="79">
        <f t="shared" ref="Z119" si="493">Z118*Z116</f>
        <v>0.1387523151748222</v>
      </c>
      <c r="AA119" s="67">
        <f t="shared" ref="AA119" si="494">AA118*AA116</f>
        <v>0.13781315829503601</v>
      </c>
    </row>
    <row r="120" spans="1:27" x14ac:dyDescent="0.25">
      <c r="A120" s="9" t="s">
        <v>53</v>
      </c>
      <c r="B120" s="58">
        <f>B118*B117</f>
        <v>0.11095075534369866</v>
      </c>
      <c r="C120" s="67">
        <f t="shared" ref="C120:E120" si="495">C118*C117</f>
        <v>0.10019457868070038</v>
      </c>
      <c r="D120" s="79">
        <f t="shared" si="495"/>
        <v>9.0360222116732725E-2</v>
      </c>
      <c r="E120" s="67">
        <f t="shared" si="495"/>
        <v>8.1235463908962538E-2</v>
      </c>
      <c r="G120" s="58">
        <f t="shared" ref="G120:J120" si="496">G118*G117</f>
        <v>0.10203163694204949</v>
      </c>
      <c r="H120" s="67">
        <f t="shared" si="496"/>
        <v>9.2081895984325271E-2</v>
      </c>
      <c r="I120" s="79">
        <f t="shared" si="496"/>
        <v>8.3053059202849888E-2</v>
      </c>
      <c r="J120" s="67">
        <f t="shared" si="496"/>
        <v>7.4751623975681206E-2</v>
      </c>
      <c r="L120" s="9" t="s">
        <v>53</v>
      </c>
      <c r="M120" s="58">
        <f t="shared" ref="M120:P120" si="497">M118*M117</f>
        <v>0.10182235519444895</v>
      </c>
      <c r="N120" s="67">
        <f t="shared" si="497"/>
        <v>9.1900477748166523E-2</v>
      </c>
      <c r="O120" s="79">
        <f t="shared" si="497"/>
        <v>8.2895892068825056E-2</v>
      </c>
      <c r="P120" s="67">
        <f t="shared" si="497"/>
        <v>7.4615047953772426E-2</v>
      </c>
      <c r="R120" s="58">
        <f t="shared" ref="R120:U120" si="498">R118*R117</f>
        <v>0.10229610185696868</v>
      </c>
      <c r="S120" s="67">
        <f t="shared" si="498"/>
        <v>9.249019081816244E-2</v>
      </c>
      <c r="T120" s="79">
        <f t="shared" si="498"/>
        <v>8.3612802087302748E-2</v>
      </c>
      <c r="U120" s="67">
        <f t="shared" si="498"/>
        <v>7.5479895476940131E-2</v>
      </c>
      <c r="W120" s="9" t="s">
        <v>53</v>
      </c>
      <c r="X120" s="58">
        <f t="shared" ref="X120:AA120" si="499">X118*X117</f>
        <v>0.13337823768733278</v>
      </c>
      <c r="Y120" s="67">
        <f t="shared" si="499"/>
        <v>0.11974022389477182</v>
      </c>
      <c r="Z120" s="79">
        <f t="shared" si="499"/>
        <v>0.10727251362588623</v>
      </c>
      <c r="AA120" s="67">
        <f t="shared" si="499"/>
        <v>9.5699881565890974E-2</v>
      </c>
    </row>
    <row r="121" spans="1:27" x14ac:dyDescent="0.25">
      <c r="A121" s="9" t="s">
        <v>54</v>
      </c>
      <c r="B121" s="58">
        <f>(B63+B64)/B28</f>
        <v>0.16114218369879743</v>
      </c>
      <c r="C121" s="67">
        <f t="shared" ref="C121:E121" si="500">(C63+C64)/C28</f>
        <v>0.15292856746001637</v>
      </c>
      <c r="D121" s="79">
        <f t="shared" si="500"/>
        <v>0.14617091507236457</v>
      </c>
      <c r="E121" s="67">
        <f t="shared" si="500"/>
        <v>0.14080851814934794</v>
      </c>
      <c r="G121" s="58">
        <f t="shared" ref="G121:J121" si="501">(G63+G64)/G28</f>
        <v>0.14377132983267013</v>
      </c>
      <c r="H121" s="67">
        <f t="shared" si="501"/>
        <v>0.13582086786020295</v>
      </c>
      <c r="I121" s="79">
        <f t="shared" si="501"/>
        <v>0.12919375348259063</v>
      </c>
      <c r="J121" s="67">
        <f t="shared" si="501"/>
        <v>0.12380764151056781</v>
      </c>
      <c r="L121" s="9" t="s">
        <v>54</v>
      </c>
      <c r="M121" s="58">
        <f t="shared" ref="M121:P121" si="502">(M63+M64)/M28</f>
        <v>0.143476433895841</v>
      </c>
      <c r="N121" s="67">
        <f t="shared" si="502"/>
        <v>0.13555327582142757</v>
      </c>
      <c r="O121" s="79">
        <f t="shared" si="502"/>
        <v>0.12894927107383095</v>
      </c>
      <c r="P121" s="67">
        <f t="shared" si="502"/>
        <v>0.12358143699138677</v>
      </c>
      <c r="R121" s="58">
        <f t="shared" ref="R121:U121" si="503">(R63+R64)/R28</f>
        <v>0.14232575019955615</v>
      </c>
      <c r="S121" s="67">
        <f t="shared" si="503"/>
        <v>0.1343309375691325</v>
      </c>
      <c r="T121" s="79">
        <f t="shared" si="503"/>
        <v>0.12761946865452237</v>
      </c>
      <c r="U121" s="67">
        <f t="shared" si="503"/>
        <v>0.12210017761510776</v>
      </c>
      <c r="W121" s="9" t="s">
        <v>54</v>
      </c>
      <c r="X121" s="58">
        <f t="shared" ref="X121:AA121" si="504">(X63+X64)/X28</f>
        <v>0.19844169311839407</v>
      </c>
      <c r="Y121" s="67">
        <f t="shared" si="504"/>
        <v>0.18770181395127974</v>
      </c>
      <c r="Z121" s="79">
        <f t="shared" si="504"/>
        <v>0.17878911678023279</v>
      </c>
      <c r="AA121" s="67">
        <f t="shared" si="504"/>
        <v>0.17160014084056208</v>
      </c>
    </row>
    <row r="122" spans="1:27" x14ac:dyDescent="0.25">
      <c r="A122" s="9" t="s">
        <v>57</v>
      </c>
      <c r="B122" s="58">
        <f>B35/B31</f>
        <v>0.20161269933570566</v>
      </c>
      <c r="C122" s="67">
        <f t="shared" ref="C122:E122" si="505">C35/C31</f>
        <v>0.19379641190773478</v>
      </c>
      <c r="D122" s="79">
        <f t="shared" si="505"/>
        <v>0.18656643589478639</v>
      </c>
      <c r="E122" s="67">
        <f t="shared" si="505"/>
        <v>0.17985568149005779</v>
      </c>
      <c r="G122" s="58">
        <f t="shared" ref="G122:J122" si="506">G35/G31</f>
        <v>0.20533773740710157</v>
      </c>
      <c r="H122" s="67">
        <f t="shared" si="506"/>
        <v>0.19723969132718816</v>
      </c>
      <c r="I122" s="79">
        <f t="shared" si="506"/>
        <v>0.18975415886804495</v>
      </c>
      <c r="J122" s="67">
        <f t="shared" si="506"/>
        <v>0.18281435358521356</v>
      </c>
      <c r="L122" s="9" t="s">
        <v>57</v>
      </c>
      <c r="M122" s="58">
        <f t="shared" ref="M122:P122" si="507">M35/M31</f>
        <v>0.20491700607439853</v>
      </c>
      <c r="N122" s="67">
        <f t="shared" si="507"/>
        <v>0.19685150509666882</v>
      </c>
      <c r="O122" s="79">
        <f t="shared" si="507"/>
        <v>0.18939471363754121</v>
      </c>
      <c r="P122" s="67">
        <f t="shared" si="507"/>
        <v>0.18248066403655205</v>
      </c>
      <c r="R122" s="58">
        <f t="shared" ref="R122:U122" si="508">R35/R31</f>
        <v>0.20408163265306123</v>
      </c>
      <c r="S122" s="67">
        <f t="shared" si="508"/>
        <v>0.19607975131729954</v>
      </c>
      <c r="T122" s="79">
        <f t="shared" si="508"/>
        <v>0.18867839239138787</v>
      </c>
      <c r="U122" s="67">
        <f t="shared" si="508"/>
        <v>0.1818180823117338</v>
      </c>
      <c r="W122" s="9" t="s">
        <v>57</v>
      </c>
      <c r="X122" s="58">
        <f t="shared" ref="X122:AA122" si="509">X35/X31</f>
        <v>0.20202056416536623</v>
      </c>
      <c r="Y122" s="67">
        <f t="shared" si="509"/>
        <v>0.1941745671080467</v>
      </c>
      <c r="Z122" s="79">
        <f t="shared" si="509"/>
        <v>0.18691620709031379</v>
      </c>
      <c r="AA122" s="67">
        <f t="shared" si="509"/>
        <v>0.18018003022696857</v>
      </c>
    </row>
    <row r="123" spans="1:27" x14ac:dyDescent="0.25">
      <c r="A123" s="9" t="s">
        <v>55</v>
      </c>
      <c r="B123" s="58">
        <f>B65/(B38-B41-B42)</f>
        <v>8.4498885124373785E-2</v>
      </c>
      <c r="C123" s="67">
        <f t="shared" ref="C123:E123" si="510">C65/(C38-C41-C42)</f>
        <v>9.2625108721758581E-2</v>
      </c>
      <c r="D123" s="79">
        <f t="shared" si="510"/>
        <v>0.10132176204074504</v>
      </c>
      <c r="E123" s="67">
        <f t="shared" si="510"/>
        <v>0.11097829408783719</v>
      </c>
      <c r="G123" s="58">
        <f t="shared" ref="G123:J123" si="511">G65/(G38-G41-G42)</f>
        <v>6.1345710880358818E-2</v>
      </c>
      <c r="H123" s="67">
        <f t="shared" si="511"/>
        <v>6.798187524230373E-2</v>
      </c>
      <c r="I123" s="79">
        <f t="shared" si="511"/>
        <v>7.4903143227757304E-2</v>
      </c>
      <c r="J123" s="67">
        <f t="shared" si="511"/>
        <v>8.2398438640813587E-2</v>
      </c>
      <c r="L123" s="9" t="s">
        <v>55</v>
      </c>
      <c r="M123" s="58">
        <f t="shared" ref="M123:P123" si="512">M65/(M38-M41-M42)</f>
        <v>6.1219847215782788E-2</v>
      </c>
      <c r="N123" s="67">
        <f t="shared" si="512"/>
        <v>6.7847976273429811E-2</v>
      </c>
      <c r="O123" s="79">
        <f t="shared" si="512"/>
        <v>7.4761338868796823E-2</v>
      </c>
      <c r="P123" s="67">
        <f t="shared" si="512"/>
        <v>8.2247988389551857E-2</v>
      </c>
      <c r="R123" s="58">
        <f t="shared" ref="R123:U123" si="513">R65/(R38-R41-R42)</f>
        <v>5.8832304622671416E-2</v>
      </c>
      <c r="S123" s="67">
        <f t="shared" si="513"/>
        <v>6.5031187114336059E-2</v>
      </c>
      <c r="T123" s="79">
        <f t="shared" si="513"/>
        <v>7.1439636939424137E-2</v>
      </c>
      <c r="U123" s="67">
        <f t="shared" si="513"/>
        <v>7.8306839021999808E-2</v>
      </c>
      <c r="W123" s="9" t="s">
        <v>55</v>
      </c>
      <c r="X123" s="58">
        <f t="shared" ref="X123:AA123" si="514">X65/(X38-X41-X42)</f>
        <v>9.0363328558406036E-2</v>
      </c>
      <c r="Y123" s="67">
        <f t="shared" si="514"/>
        <v>0.1002323837865631</v>
      </c>
      <c r="Z123" s="79">
        <f t="shared" si="514"/>
        <v>0.1105674767822241</v>
      </c>
      <c r="AA123" s="67">
        <f t="shared" si="514"/>
        <v>0.1218168068815578</v>
      </c>
    </row>
    <row r="124" spans="1:27" x14ac:dyDescent="0.25">
      <c r="A124" s="9" t="s">
        <v>56</v>
      </c>
      <c r="B124" s="58">
        <f>B65/B80</f>
        <v>3.6228277198578317E-2</v>
      </c>
      <c r="C124" s="67">
        <f t="shared" ref="C124:E124" si="515">C65/C80</f>
        <v>3.9550942175092724E-2</v>
      </c>
      <c r="D124" s="79">
        <f t="shared" si="515"/>
        <v>4.3187175522124595E-2</v>
      </c>
      <c r="E124" s="67">
        <f t="shared" si="515"/>
        <v>4.7308004993329586E-2</v>
      </c>
      <c r="G124" s="58">
        <f t="shared" ref="G124:J124" si="516">G65/G80</f>
        <v>2.8718272899308697E-2</v>
      </c>
      <c r="H124" s="67">
        <f t="shared" si="516"/>
        <v>3.1570852135205656E-2</v>
      </c>
      <c r="I124" s="79">
        <f t="shared" si="516"/>
        <v>3.460524289630889E-2</v>
      </c>
      <c r="J124" s="67">
        <f t="shared" si="516"/>
        <v>3.7959923556448005E-2</v>
      </c>
      <c r="L124" s="9" t="s">
        <v>56</v>
      </c>
      <c r="M124" s="58">
        <f t="shared" ref="M124:P124" si="517">M65/M80</f>
        <v>2.8659319527527431E-2</v>
      </c>
      <c r="N124" s="67">
        <f t="shared" si="517"/>
        <v>3.1508604638683227E-2</v>
      </c>
      <c r="O124" s="79">
        <f t="shared" si="517"/>
        <v>3.4539800748677928E-2</v>
      </c>
      <c r="P124" s="67">
        <f t="shared" si="517"/>
        <v>3.7890526285388339E-2</v>
      </c>
      <c r="R124" s="58">
        <f t="shared" ref="R124:U124" si="518">R65/R80</f>
        <v>2.7541676244904136E-2</v>
      </c>
      <c r="S124" s="67">
        <f t="shared" si="518"/>
        <v>3.0200493866990946E-2</v>
      </c>
      <c r="T124" s="79">
        <f t="shared" si="518"/>
        <v>3.3005083094698351E-2</v>
      </c>
      <c r="U124" s="67">
        <f t="shared" si="518"/>
        <v>3.6074980793713886E-2</v>
      </c>
      <c r="W124" s="9" t="s">
        <v>56</v>
      </c>
      <c r="X124" s="58">
        <f t="shared" ref="X124:AA124" si="519">X65/X80</f>
        <v>4.0288212548045099E-2</v>
      </c>
      <c r="Y124" s="67">
        <f t="shared" si="519"/>
        <v>4.4382882814129665E-2</v>
      </c>
      <c r="Z124" s="79">
        <f t="shared" si="519"/>
        <v>4.8760325873464995E-2</v>
      </c>
      <c r="AA124" s="67">
        <f t="shared" si="519"/>
        <v>5.3625338357284488E-2</v>
      </c>
    </row>
    <row r="125" spans="1:27" x14ac:dyDescent="0.25">
      <c r="A125" s="19" t="s">
        <v>58</v>
      </c>
      <c r="B125" s="59">
        <f>B122*B86+B124*B87</f>
        <v>0.10513844401502458</v>
      </c>
      <c r="C125" s="68">
        <f t="shared" ref="C125:E125" si="520">C122*C86+C124*C87</f>
        <v>0.10124901948953116</v>
      </c>
      <c r="D125" s="80">
        <f t="shared" si="520"/>
        <v>9.8333020544693811E-2</v>
      </c>
      <c r="E125" s="68">
        <f t="shared" si="520"/>
        <v>9.6399721737685864E-2</v>
      </c>
      <c r="G125" s="59">
        <f t="shared" ref="G125" si="521">G122*G86+G124*G87</f>
        <v>0.10550932236834169</v>
      </c>
      <c r="H125" s="68">
        <f t="shared" ref="H125" si="522">H122*H86+H124*H87</f>
        <v>0.10059977788116499</v>
      </c>
      <c r="I125" s="80">
        <f t="shared" ref="I125" si="523">I122*I86+I124*I87</f>
        <v>9.6664809285003317E-2</v>
      </c>
      <c r="J125" s="68">
        <f t="shared" ref="J125" si="524">J122*J86+J124*J87</f>
        <v>9.3673116275011764E-2</v>
      </c>
      <c r="L125" s="19" t="s">
        <v>58</v>
      </c>
      <c r="M125" s="59">
        <f t="shared" ref="M125" si="525">M122*M86+M124*M87</f>
        <v>0.10529290738142996</v>
      </c>
      <c r="N125" s="68">
        <f t="shared" ref="N125" si="526">N122*N86+N124*N87</f>
        <v>0.10040157785426429</v>
      </c>
      <c r="O125" s="80">
        <f t="shared" ref="O125" si="527">O122*O86+O124*O87</f>
        <v>9.6481883680790748E-2</v>
      </c>
      <c r="P125" s="68">
        <f t="shared" ref="P125" si="528">P122*P86+P124*P87</f>
        <v>9.3501969470431281E-2</v>
      </c>
      <c r="R125" s="59">
        <f t="shared" ref="R125" si="529">R122*R86+R124*R87</f>
        <v>0.10429824215152234</v>
      </c>
      <c r="S125" s="68">
        <f t="shared" ref="S125" si="530">S122*S86+S124*S87</f>
        <v>9.9316919928213038E-2</v>
      </c>
      <c r="T125" s="80">
        <f t="shared" ref="T125" si="531">T122*T86+T124*T87</f>
        <v>9.5274322370202405E-2</v>
      </c>
      <c r="U125" s="68">
        <f t="shared" ref="U125" si="532">U122*U86+U124*U87</f>
        <v>9.212999624057143E-2</v>
      </c>
      <c r="W125" s="19" t="s">
        <v>58</v>
      </c>
      <c r="X125" s="59">
        <f t="shared" ref="X125" si="533">X122*X86+X124*X87</f>
        <v>0.11060664360190894</v>
      </c>
      <c r="Y125" s="68">
        <f t="shared" ref="Y125" si="534">Y122*Y86+Y124*Y87</f>
        <v>0.10679593641673393</v>
      </c>
      <c r="Z125" s="80">
        <f t="shared" ref="Z125" si="535">Z122*Z86+Z124*Z87</f>
        <v>0.10402265948332989</v>
      </c>
      <c r="AA125" s="68">
        <f t="shared" ref="AA125" si="536">AA122*AA86+AA124*AA87</f>
        <v>0.10230018245254632</v>
      </c>
    </row>
  </sheetData>
  <pageMargins left="0.11811023622047245" right="0.11811023622047245" top="0.15748031496062992" bottom="0.15748031496062992" header="0.31496062992125984" footer="0.31496062992125984"/>
  <pageSetup paperSize="9" scale="92" pageOrder="overThenDown" orientation="portrait" r:id="rId1"/>
  <rowBreaks count="1" manualBreakCount="1">
    <brk id="68" max="16383" man="1"/>
  </rowBreaks>
  <colBreaks count="2" manualBreakCount="2">
    <brk id="11" max="124" man="1"/>
    <brk id="2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selection sqref="A1:E1"/>
    </sheetView>
  </sheetViews>
  <sheetFormatPr defaultRowHeight="11.25" x14ac:dyDescent="0.25"/>
  <cols>
    <col min="1" max="1" width="49.5703125" style="21" customWidth="1"/>
    <col min="2" max="2" width="9.42578125" style="21" bestFit="1" customWidth="1"/>
    <col min="3" max="16384" width="9.140625" style="21"/>
  </cols>
  <sheetData>
    <row r="1" spans="1:7" ht="22.5" customHeight="1" x14ac:dyDescent="0.25">
      <c r="A1" s="86" t="s">
        <v>87</v>
      </c>
      <c r="B1" s="86"/>
      <c r="C1" s="86"/>
      <c r="D1" s="86"/>
      <c r="E1" s="86"/>
    </row>
    <row r="2" spans="1:7" x14ac:dyDescent="0.25">
      <c r="A2" s="21" t="s">
        <v>61</v>
      </c>
      <c r="B2" s="22">
        <v>500</v>
      </c>
      <c r="C2" s="22">
        <v>450</v>
      </c>
      <c r="D2" s="22">
        <v>350</v>
      </c>
      <c r="E2" s="22">
        <v>550</v>
      </c>
      <c r="F2" s="22"/>
      <c r="G2" s="22"/>
    </row>
    <row r="3" spans="1:7" x14ac:dyDescent="0.25">
      <c r="A3" s="21" t="s">
        <v>62</v>
      </c>
      <c r="B3" s="22">
        <v>17400</v>
      </c>
      <c r="C3" s="22">
        <v>12300</v>
      </c>
      <c r="D3" s="22">
        <v>10200</v>
      </c>
      <c r="E3" s="22">
        <v>25000</v>
      </c>
      <c r="F3" s="22"/>
      <c r="G3" s="22"/>
    </row>
    <row r="4" spans="1:7" x14ac:dyDescent="0.25">
      <c r="A4" s="21" t="s">
        <v>63</v>
      </c>
      <c r="B4" s="22">
        <v>50</v>
      </c>
      <c r="C4" s="22">
        <v>30</v>
      </c>
      <c r="D4" s="22">
        <v>35</v>
      </c>
      <c r="E4" s="22">
        <v>55</v>
      </c>
      <c r="F4" s="22"/>
      <c r="G4" s="22"/>
    </row>
    <row r="5" spans="1:7" x14ac:dyDescent="0.25">
      <c r="A5" s="21" t="s">
        <v>64</v>
      </c>
      <c r="B5" s="22">
        <v>130</v>
      </c>
      <c r="C5" s="22">
        <v>120</v>
      </c>
      <c r="D5" s="22">
        <v>110</v>
      </c>
      <c r="E5" s="22">
        <v>180</v>
      </c>
      <c r="F5" s="22"/>
      <c r="G5" s="22"/>
    </row>
    <row r="6" spans="1:7" x14ac:dyDescent="0.25">
      <c r="A6" s="21" t="s">
        <v>65</v>
      </c>
      <c r="B6" s="22"/>
      <c r="C6" s="22"/>
      <c r="D6" s="22"/>
      <c r="E6" s="22"/>
      <c r="F6" s="22"/>
      <c r="G6" s="22"/>
    </row>
    <row r="7" spans="1:7" x14ac:dyDescent="0.25">
      <c r="A7" s="21" t="s">
        <v>66</v>
      </c>
      <c r="B7" s="22">
        <f>B3/B4</f>
        <v>348</v>
      </c>
      <c r="C7" s="22">
        <f t="shared" ref="C7:E7" si="0">C3/C4</f>
        <v>410</v>
      </c>
      <c r="D7" s="22">
        <f t="shared" si="0"/>
        <v>291.42857142857144</v>
      </c>
      <c r="E7" s="22">
        <f t="shared" si="0"/>
        <v>454.54545454545456</v>
      </c>
      <c r="F7" s="22"/>
      <c r="G7" s="22"/>
    </row>
    <row r="8" spans="1:7" x14ac:dyDescent="0.25">
      <c r="A8" s="21" t="s">
        <v>67</v>
      </c>
      <c r="B8" s="23">
        <f>(B2-B7)/B2</f>
        <v>0.30399999999999999</v>
      </c>
      <c r="C8" s="23">
        <f t="shared" ref="C8:E8" si="1">(C2-C7)/C2</f>
        <v>8.8888888888888892E-2</v>
      </c>
      <c r="D8" s="23">
        <f t="shared" si="1"/>
        <v>0.16734693877551016</v>
      </c>
      <c r="E8" s="23">
        <f t="shared" si="1"/>
        <v>0.17355371900826444</v>
      </c>
      <c r="F8" s="23"/>
      <c r="G8" s="23"/>
    </row>
    <row r="9" spans="1:7" x14ac:dyDescent="0.25">
      <c r="A9" s="21" t="s">
        <v>68</v>
      </c>
      <c r="B9" s="24">
        <f>B4*B2/(B4*B2-B3)</f>
        <v>3.2894736842105261</v>
      </c>
      <c r="C9" s="24">
        <f>C4*C2/(C4*C2-C3)</f>
        <v>11.25</v>
      </c>
      <c r="D9" s="24">
        <f t="shared" ref="D9:E9" si="2">D4*D2/(D4*D2-D3)</f>
        <v>5.975609756097561</v>
      </c>
      <c r="E9" s="24">
        <f t="shared" si="2"/>
        <v>5.7619047619047619</v>
      </c>
      <c r="F9" s="24"/>
      <c r="G9" s="24"/>
    </row>
    <row r="10" spans="1:7" x14ac:dyDescent="0.25">
      <c r="A10" s="21" t="s">
        <v>69</v>
      </c>
      <c r="B10" s="23">
        <f>B9*B11</f>
        <v>0.65789473684210531</v>
      </c>
      <c r="C10" s="23">
        <f>C9*C11</f>
        <v>1.125</v>
      </c>
      <c r="D10" s="23">
        <f t="shared" ref="D10:E10" si="3">D9*D11</f>
        <v>0.29878048780487804</v>
      </c>
      <c r="E10" s="23">
        <f t="shared" si="3"/>
        <v>0.86428571428571421</v>
      </c>
      <c r="F10" s="23"/>
      <c r="G10" s="23"/>
    </row>
    <row r="11" spans="1:7" x14ac:dyDescent="0.25">
      <c r="A11" s="21" t="s">
        <v>70</v>
      </c>
      <c r="B11" s="25">
        <v>0.2</v>
      </c>
      <c r="C11" s="25">
        <v>0.1</v>
      </c>
      <c r="D11" s="25">
        <v>0.05</v>
      </c>
      <c r="E11" s="25">
        <v>0.15</v>
      </c>
    </row>
    <row r="13" spans="1:7" ht="22.5" customHeight="1" x14ac:dyDescent="0.25">
      <c r="A13" s="86" t="s">
        <v>88</v>
      </c>
      <c r="B13" s="86"/>
      <c r="C13" s="86"/>
      <c r="D13" s="86"/>
      <c r="E13" s="86"/>
    </row>
    <row r="14" spans="1:7" x14ac:dyDescent="0.25">
      <c r="A14" s="21" t="s">
        <v>82</v>
      </c>
      <c r="B14" s="22">
        <v>43000</v>
      </c>
      <c r="C14" s="22">
        <v>45000</v>
      </c>
      <c r="D14" s="22">
        <v>50000</v>
      </c>
      <c r="E14" s="22">
        <v>60000</v>
      </c>
    </row>
    <row r="15" spans="1:7" x14ac:dyDescent="0.25">
      <c r="A15" s="21" t="s">
        <v>62</v>
      </c>
      <c r="B15" s="22">
        <v>300000</v>
      </c>
      <c r="C15" s="22">
        <v>350000</v>
      </c>
      <c r="D15" s="22">
        <v>400000</v>
      </c>
      <c r="E15" s="22">
        <v>450000</v>
      </c>
    </row>
    <row r="16" spans="1:7" x14ac:dyDescent="0.25">
      <c r="A16" s="21" t="s">
        <v>83</v>
      </c>
      <c r="B16" s="22">
        <v>19</v>
      </c>
      <c r="C16" s="22">
        <v>25</v>
      </c>
      <c r="D16" s="22">
        <v>36</v>
      </c>
      <c r="E16" s="22">
        <v>40</v>
      </c>
    </row>
    <row r="17" spans="1:5" x14ac:dyDescent="0.25">
      <c r="A17" s="21" t="s">
        <v>64</v>
      </c>
      <c r="B17" s="22">
        <v>29</v>
      </c>
      <c r="C17" s="22">
        <v>35</v>
      </c>
      <c r="D17" s="22">
        <v>56</v>
      </c>
      <c r="E17" s="22">
        <v>50</v>
      </c>
    </row>
    <row r="18" spans="1:5" x14ac:dyDescent="0.25">
      <c r="A18" s="21" t="s">
        <v>65</v>
      </c>
    </row>
    <row r="19" spans="1:5" x14ac:dyDescent="0.25">
      <c r="A19" s="21" t="s">
        <v>66</v>
      </c>
      <c r="B19" s="22">
        <f>B15/(B17-B16)</f>
        <v>30000</v>
      </c>
      <c r="C19" s="22">
        <f t="shared" ref="C19:E19" si="4">C15/(C17-C16)</f>
        <v>35000</v>
      </c>
      <c r="D19" s="22">
        <f t="shared" si="4"/>
        <v>20000</v>
      </c>
      <c r="E19" s="22">
        <f t="shared" si="4"/>
        <v>45000</v>
      </c>
    </row>
    <row r="20" spans="1:5" x14ac:dyDescent="0.25">
      <c r="A20" s="21" t="s">
        <v>84</v>
      </c>
      <c r="B20" s="22">
        <f>B17*B19</f>
        <v>870000</v>
      </c>
      <c r="C20" s="22">
        <f t="shared" ref="C20:E20" si="5">C17*C19</f>
        <v>1225000</v>
      </c>
      <c r="D20" s="22">
        <f t="shared" si="5"/>
        <v>1120000</v>
      </c>
      <c r="E20" s="22">
        <f t="shared" si="5"/>
        <v>2250000</v>
      </c>
    </row>
    <row r="21" spans="1:5" x14ac:dyDescent="0.25">
      <c r="A21" s="21" t="s">
        <v>86</v>
      </c>
      <c r="B21" s="23">
        <f>B19/B14</f>
        <v>0.69767441860465118</v>
      </c>
      <c r="C21" s="23">
        <f t="shared" ref="C21:E21" si="6">C19/C14</f>
        <v>0.77777777777777779</v>
      </c>
      <c r="D21" s="23">
        <f t="shared" si="6"/>
        <v>0.4</v>
      </c>
      <c r="E21" s="23">
        <f t="shared" si="6"/>
        <v>0.75</v>
      </c>
    </row>
    <row r="22" spans="1:5" x14ac:dyDescent="0.25">
      <c r="A22" s="21" t="s">
        <v>85</v>
      </c>
      <c r="B22" s="24">
        <f>(B17-B16)*B23/((B17-B16)*B23-B15)</f>
        <v>4</v>
      </c>
      <c r="C22" s="24">
        <f t="shared" ref="C22:E22" si="7">(C17-C16)*C23/((C17-C16)*C23-C15)</f>
        <v>6.833333333333333</v>
      </c>
      <c r="D22" s="24">
        <f t="shared" si="7"/>
        <v>1.8</v>
      </c>
      <c r="E22" s="24">
        <f t="shared" si="7"/>
        <v>5.5</v>
      </c>
    </row>
    <row r="23" spans="1:5" x14ac:dyDescent="0.25">
      <c r="A23" s="21" t="s">
        <v>61</v>
      </c>
      <c r="B23" s="22">
        <v>40000</v>
      </c>
      <c r="C23" s="22">
        <v>41000</v>
      </c>
      <c r="D23" s="22">
        <v>45000</v>
      </c>
      <c r="E23" s="22">
        <v>55000</v>
      </c>
    </row>
    <row r="25" spans="1:5" ht="22.5" customHeight="1" x14ac:dyDescent="0.25">
      <c r="A25" s="86" t="s">
        <v>95</v>
      </c>
      <c r="B25" s="86"/>
      <c r="C25" s="86"/>
      <c r="D25" s="86"/>
      <c r="E25" s="86"/>
    </row>
    <row r="26" spans="1:5" x14ac:dyDescent="0.25">
      <c r="A26" s="21" t="s">
        <v>61</v>
      </c>
      <c r="B26" s="22">
        <v>500</v>
      </c>
      <c r="C26" s="22">
        <v>600</v>
      </c>
      <c r="D26" s="22">
        <v>400</v>
      </c>
      <c r="E26" s="22">
        <v>550</v>
      </c>
    </row>
    <row r="27" spans="1:5" x14ac:dyDescent="0.25">
      <c r="A27" s="21" t="s">
        <v>62</v>
      </c>
      <c r="B27" s="22">
        <v>17400</v>
      </c>
      <c r="C27" s="22">
        <v>19000</v>
      </c>
      <c r="D27" s="22">
        <v>15000</v>
      </c>
      <c r="E27" s="22">
        <v>14000</v>
      </c>
    </row>
    <row r="28" spans="1:5" x14ac:dyDescent="0.25">
      <c r="A28" s="21" t="s">
        <v>63</v>
      </c>
      <c r="B28" s="22">
        <v>50</v>
      </c>
      <c r="C28" s="22">
        <v>45</v>
      </c>
      <c r="D28" s="22">
        <v>50</v>
      </c>
      <c r="E28" s="22">
        <v>60</v>
      </c>
    </row>
    <row r="29" spans="1:5" x14ac:dyDescent="0.25">
      <c r="A29" s="21" t="s">
        <v>64</v>
      </c>
      <c r="B29" s="22">
        <v>130</v>
      </c>
      <c r="C29" s="22">
        <v>120</v>
      </c>
      <c r="D29" s="22">
        <v>110</v>
      </c>
      <c r="E29" s="22">
        <v>100</v>
      </c>
    </row>
    <row r="30" spans="1:5" x14ac:dyDescent="0.25">
      <c r="A30" s="21" t="s">
        <v>65</v>
      </c>
      <c r="B30" s="22"/>
      <c r="C30" s="22"/>
      <c r="D30" s="22"/>
      <c r="E30" s="22"/>
    </row>
    <row r="31" spans="1:5" x14ac:dyDescent="0.25">
      <c r="A31" s="21" t="s">
        <v>96</v>
      </c>
      <c r="B31" s="22">
        <f>B27/B28</f>
        <v>348</v>
      </c>
      <c r="C31" s="22">
        <f t="shared" ref="C31:E31" si="8">C27/C28</f>
        <v>422.22222222222223</v>
      </c>
      <c r="D31" s="22">
        <f t="shared" si="8"/>
        <v>300</v>
      </c>
      <c r="E31" s="22">
        <f t="shared" si="8"/>
        <v>233.33333333333334</v>
      </c>
    </row>
    <row r="32" spans="1:5" x14ac:dyDescent="0.25">
      <c r="A32" s="21" t="s">
        <v>97</v>
      </c>
      <c r="B32" s="22">
        <f>B31*B29</f>
        <v>45240</v>
      </c>
      <c r="C32" s="22">
        <f t="shared" ref="C32:E32" si="9">C31*C29</f>
        <v>50666.666666666664</v>
      </c>
      <c r="D32" s="22">
        <f t="shared" si="9"/>
        <v>33000</v>
      </c>
      <c r="E32" s="22">
        <f t="shared" si="9"/>
        <v>23333.333333333336</v>
      </c>
    </row>
    <row r="33" spans="1:5" x14ac:dyDescent="0.25">
      <c r="A33" s="21" t="s">
        <v>67</v>
      </c>
      <c r="B33" s="23">
        <f>(B26-B31)/B26</f>
        <v>0.30399999999999999</v>
      </c>
      <c r="C33" s="23">
        <f t="shared" ref="C33:E33" si="10">(C26-C31)/C26</f>
        <v>0.29629629629629628</v>
      </c>
      <c r="D33" s="23">
        <f t="shared" si="10"/>
        <v>0.25</v>
      </c>
      <c r="E33" s="23">
        <f t="shared" si="10"/>
        <v>0.57575757575757569</v>
      </c>
    </row>
    <row r="34" spans="1:5" x14ac:dyDescent="0.25">
      <c r="A34" s="21" t="s">
        <v>68</v>
      </c>
      <c r="B34" s="24">
        <f>B28*B26/(B28*B26-B27)</f>
        <v>3.2894736842105261</v>
      </c>
      <c r="C34" s="24">
        <f t="shared" ref="C34:E34" si="11">C28*C26/(C28*C26-C27)</f>
        <v>3.375</v>
      </c>
      <c r="D34" s="24">
        <f t="shared" si="11"/>
        <v>4</v>
      </c>
      <c r="E34" s="24">
        <f t="shared" si="11"/>
        <v>1.736842105263158</v>
      </c>
    </row>
    <row r="35" spans="1:5" x14ac:dyDescent="0.25">
      <c r="B35" s="25"/>
      <c r="C35" s="25"/>
      <c r="D35" s="25"/>
      <c r="E35" s="25"/>
    </row>
    <row r="36" spans="1:5" ht="24" customHeight="1" x14ac:dyDescent="0.25">
      <c r="A36" s="86" t="s">
        <v>101</v>
      </c>
      <c r="B36" s="86"/>
      <c r="C36" s="86"/>
      <c r="D36" s="86"/>
      <c r="E36" s="86"/>
    </row>
    <row r="37" spans="1:5" x14ac:dyDescent="0.25">
      <c r="A37" s="21" t="s">
        <v>64</v>
      </c>
      <c r="B37" s="22">
        <v>750</v>
      </c>
      <c r="C37" s="22">
        <v>700</v>
      </c>
      <c r="D37" s="22">
        <v>650</v>
      </c>
      <c r="E37" s="22">
        <v>550</v>
      </c>
    </row>
    <row r="38" spans="1:5" x14ac:dyDescent="0.25">
      <c r="A38" s="21" t="s">
        <v>62</v>
      </c>
      <c r="B38" s="22">
        <v>9000000</v>
      </c>
      <c r="C38" s="22">
        <v>8000000</v>
      </c>
      <c r="D38" s="22">
        <v>7000000</v>
      </c>
      <c r="E38" s="22">
        <v>6000000</v>
      </c>
    </row>
    <row r="39" spans="1:5" x14ac:dyDescent="0.25">
      <c r="A39" s="21" t="s">
        <v>83</v>
      </c>
      <c r="B39" s="22">
        <v>450</v>
      </c>
      <c r="C39" s="22">
        <v>350</v>
      </c>
      <c r="D39" s="22">
        <v>300</v>
      </c>
      <c r="E39" s="22">
        <v>250</v>
      </c>
    </row>
    <row r="40" spans="1:5" x14ac:dyDescent="0.25">
      <c r="A40" s="21" t="s">
        <v>61</v>
      </c>
      <c r="B40" s="22">
        <v>40000</v>
      </c>
      <c r="C40" s="22">
        <v>35000</v>
      </c>
      <c r="D40" s="22">
        <v>30000</v>
      </c>
      <c r="E40" s="22">
        <v>25000</v>
      </c>
    </row>
    <row r="41" spans="1:5" x14ac:dyDescent="0.25">
      <c r="A41" s="21" t="s">
        <v>102</v>
      </c>
    </row>
    <row r="42" spans="1:5" x14ac:dyDescent="0.25">
      <c r="A42" s="21" t="s">
        <v>66</v>
      </c>
      <c r="B42" s="22">
        <f>B38/(B37-B39)</f>
        <v>30000</v>
      </c>
      <c r="C42" s="22">
        <f t="shared" ref="C42:E42" si="12">C38/(C37-C39)</f>
        <v>22857.142857142859</v>
      </c>
      <c r="D42" s="22">
        <f t="shared" si="12"/>
        <v>20000</v>
      </c>
      <c r="E42" s="22">
        <f t="shared" si="12"/>
        <v>20000</v>
      </c>
    </row>
    <row r="43" spans="1:5" x14ac:dyDescent="0.25">
      <c r="A43" s="21" t="s">
        <v>84</v>
      </c>
      <c r="B43" s="22">
        <f>B42*B37</f>
        <v>22500000</v>
      </c>
      <c r="C43" s="22">
        <f t="shared" ref="C43:E43" si="13">C42*C37</f>
        <v>16000000.000000002</v>
      </c>
      <c r="D43" s="22">
        <f t="shared" si="13"/>
        <v>13000000</v>
      </c>
      <c r="E43" s="22">
        <f t="shared" si="13"/>
        <v>11000000</v>
      </c>
    </row>
    <row r="44" spans="1:5" x14ac:dyDescent="0.25">
      <c r="A44" s="21" t="s">
        <v>103</v>
      </c>
      <c r="B44" s="23">
        <f>(B37*B40-B43)/(B37*B40)</f>
        <v>0.25</v>
      </c>
      <c r="C44" s="23">
        <f t="shared" ref="C44:E44" si="14">(C37*C40-C43)/(C37*C40)</f>
        <v>0.34693877551020402</v>
      </c>
      <c r="D44" s="23">
        <f t="shared" si="14"/>
        <v>0.33333333333333331</v>
      </c>
      <c r="E44" s="23">
        <f t="shared" si="14"/>
        <v>0.2</v>
      </c>
    </row>
    <row r="45" spans="1:5" x14ac:dyDescent="0.25">
      <c r="A45" s="21" t="s">
        <v>68</v>
      </c>
      <c r="B45" s="24">
        <f>(B37-B39)*B40/((B37-B39)*B40-B38)</f>
        <v>4</v>
      </c>
      <c r="C45" s="24">
        <f t="shared" ref="C45:E45" si="15">(C37-C39)*C40/((C37-C39)*C40-C38)</f>
        <v>2.8823529411764706</v>
      </c>
      <c r="D45" s="24">
        <f t="shared" si="15"/>
        <v>3</v>
      </c>
      <c r="E45" s="24">
        <f t="shared" si="15"/>
        <v>5</v>
      </c>
    </row>
    <row r="47" spans="1:5" ht="22.5" customHeight="1" x14ac:dyDescent="0.25">
      <c r="A47" s="86" t="s">
        <v>111</v>
      </c>
      <c r="B47" s="86"/>
      <c r="C47" s="86"/>
      <c r="D47" s="86"/>
      <c r="E47" s="86"/>
    </row>
    <row r="48" spans="1:5" x14ac:dyDescent="0.25">
      <c r="A48" s="21" t="s">
        <v>82</v>
      </c>
      <c r="B48" s="22">
        <v>45</v>
      </c>
      <c r="C48" s="22">
        <v>55</v>
      </c>
      <c r="D48" s="22">
        <v>60</v>
      </c>
      <c r="E48" s="22">
        <v>50</v>
      </c>
    </row>
    <row r="49" spans="1:5" x14ac:dyDescent="0.25">
      <c r="A49" s="21" t="s">
        <v>112</v>
      </c>
      <c r="B49" s="22">
        <v>2500</v>
      </c>
      <c r="C49" s="22">
        <v>3500</v>
      </c>
      <c r="D49" s="22">
        <v>4000</v>
      </c>
      <c r="E49" s="22">
        <v>3000</v>
      </c>
    </row>
    <row r="50" spans="1:5" x14ac:dyDescent="0.25">
      <c r="A50" s="21" t="s">
        <v>113</v>
      </c>
      <c r="B50" s="22">
        <v>200</v>
      </c>
      <c r="C50" s="22">
        <v>150</v>
      </c>
      <c r="D50" s="22">
        <v>300</v>
      </c>
      <c r="E50" s="22">
        <v>300</v>
      </c>
    </row>
    <row r="51" spans="1:5" x14ac:dyDescent="0.25">
      <c r="A51" s="21" t="s">
        <v>114</v>
      </c>
      <c r="B51" s="22">
        <v>400</v>
      </c>
      <c r="C51" s="22">
        <v>300</v>
      </c>
      <c r="D51" s="22">
        <v>250</v>
      </c>
      <c r="E51" s="22">
        <v>400</v>
      </c>
    </row>
    <row r="52" spans="1:5" x14ac:dyDescent="0.25">
      <c r="A52" s="21" t="s">
        <v>115</v>
      </c>
      <c r="B52" s="22">
        <v>1000</v>
      </c>
      <c r="C52" s="22">
        <v>900</v>
      </c>
      <c r="D52" s="22">
        <v>1200</v>
      </c>
      <c r="E52" s="22">
        <v>1000</v>
      </c>
    </row>
    <row r="53" spans="1:5" x14ac:dyDescent="0.25">
      <c r="A53" s="21" t="s">
        <v>116</v>
      </c>
      <c r="B53" s="22">
        <v>350</v>
      </c>
      <c r="C53" s="22">
        <v>250</v>
      </c>
      <c r="D53" s="22">
        <v>450</v>
      </c>
      <c r="E53" s="22">
        <v>250</v>
      </c>
    </row>
    <row r="54" spans="1:5" x14ac:dyDescent="0.25">
      <c r="A54" s="21" t="s">
        <v>117</v>
      </c>
      <c r="B54" s="22">
        <v>250</v>
      </c>
      <c r="C54" s="22">
        <v>200</v>
      </c>
      <c r="D54" s="22">
        <v>400</v>
      </c>
      <c r="E54" s="22">
        <v>350</v>
      </c>
    </row>
    <row r="55" spans="1:5" x14ac:dyDescent="0.25">
      <c r="A55" s="21" t="s">
        <v>64</v>
      </c>
      <c r="B55" s="21">
        <v>180</v>
      </c>
      <c r="C55" s="21">
        <v>190</v>
      </c>
      <c r="D55" s="21">
        <v>220</v>
      </c>
      <c r="E55" s="21">
        <v>200</v>
      </c>
    </row>
    <row r="56" spans="1:5" x14ac:dyDescent="0.25">
      <c r="A56" s="21" t="s">
        <v>102</v>
      </c>
    </row>
    <row r="57" spans="1:5" x14ac:dyDescent="0.25">
      <c r="A57" s="21" t="s">
        <v>118</v>
      </c>
      <c r="B57" s="21">
        <f>B55</f>
        <v>180</v>
      </c>
      <c r="C57" s="21">
        <f t="shared" ref="C57:E57" si="16">C55</f>
        <v>190</v>
      </c>
      <c r="D57" s="21">
        <f t="shared" si="16"/>
        <v>220</v>
      </c>
      <c r="E57" s="21">
        <f t="shared" si="16"/>
        <v>200</v>
      </c>
    </row>
    <row r="58" spans="1:5" x14ac:dyDescent="0.25">
      <c r="A58" s="21" t="s">
        <v>66</v>
      </c>
      <c r="B58" s="22">
        <f>B62/B57</f>
        <v>26.111111111111111</v>
      </c>
      <c r="C58" s="22">
        <f t="shared" ref="C58:E58" si="17">C62/C57</f>
        <v>27.894736842105264</v>
      </c>
      <c r="D58" s="22">
        <f t="shared" si="17"/>
        <v>30</v>
      </c>
      <c r="E58" s="22">
        <f t="shared" si="17"/>
        <v>26.5</v>
      </c>
    </row>
    <row r="59" spans="1:5" x14ac:dyDescent="0.25">
      <c r="A59" s="21" t="s">
        <v>120</v>
      </c>
      <c r="B59" s="24">
        <f>B57*B48/(B57*B48-B62)</f>
        <v>2.3823529411764706</v>
      </c>
      <c r="C59" s="24">
        <f t="shared" ref="C59:E59" si="18">C57*C48/(C57*C48-C62)</f>
        <v>2.029126213592233</v>
      </c>
      <c r="D59" s="24">
        <f t="shared" si="18"/>
        <v>2</v>
      </c>
      <c r="E59" s="24">
        <f t="shared" si="18"/>
        <v>2.1276595744680851</v>
      </c>
    </row>
    <row r="60" spans="1:5" x14ac:dyDescent="0.25">
      <c r="A60" s="21" t="s">
        <v>119</v>
      </c>
      <c r="B60" s="25">
        <f>B59*B61</f>
        <v>-0.3573529411764706</v>
      </c>
      <c r="C60" s="25">
        <f t="shared" ref="C60:E60" si="19">C59*C61</f>
        <v>-0.50728155339805825</v>
      </c>
      <c r="D60" s="25">
        <f t="shared" si="19"/>
        <v>-0.6</v>
      </c>
      <c r="E60" s="25">
        <f t="shared" si="19"/>
        <v>-0.42553191489361702</v>
      </c>
    </row>
    <row r="61" spans="1:5" x14ac:dyDescent="0.25">
      <c r="A61" s="21" t="s">
        <v>70</v>
      </c>
      <c r="B61" s="25">
        <v>-0.15</v>
      </c>
      <c r="C61" s="25">
        <v>-0.25</v>
      </c>
      <c r="D61" s="25">
        <v>-0.3</v>
      </c>
      <c r="E61" s="25">
        <v>-0.2</v>
      </c>
    </row>
    <row r="62" spans="1:5" x14ac:dyDescent="0.25">
      <c r="A62" s="21" t="s">
        <v>62</v>
      </c>
      <c r="B62" s="22">
        <f>SUM(B49:B54)</f>
        <v>4700</v>
      </c>
      <c r="C62" s="22">
        <f t="shared" ref="C62:E62" si="20">SUM(C49:C54)</f>
        <v>5300</v>
      </c>
      <c r="D62" s="22">
        <f t="shared" si="20"/>
        <v>6600</v>
      </c>
      <c r="E62" s="22">
        <f t="shared" si="20"/>
        <v>5300</v>
      </c>
    </row>
  </sheetData>
  <mergeCells count="5">
    <mergeCell ref="A1:E1"/>
    <mergeCell ref="A13:E13"/>
    <mergeCell ref="A25:E25"/>
    <mergeCell ref="A36:E36"/>
    <mergeCell ref="A47:E4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Normal="100" workbookViewId="0">
      <selection sqref="A1:E1"/>
    </sheetView>
  </sheetViews>
  <sheetFormatPr defaultRowHeight="11.25" x14ac:dyDescent="0.25"/>
  <cols>
    <col min="1" max="1" width="40.42578125" style="21" customWidth="1"/>
    <col min="2" max="5" width="9.7109375" style="21" bestFit="1" customWidth="1"/>
    <col min="6" max="16384" width="9.140625" style="21"/>
  </cols>
  <sheetData>
    <row r="1" spans="1:5" ht="22.5" customHeight="1" x14ac:dyDescent="0.25">
      <c r="A1" s="86" t="s">
        <v>89</v>
      </c>
      <c r="B1" s="86"/>
      <c r="C1" s="86"/>
      <c r="D1" s="86"/>
      <c r="E1" s="86"/>
    </row>
    <row r="2" spans="1:5" x14ac:dyDescent="0.25">
      <c r="A2" s="21" t="s">
        <v>71</v>
      </c>
      <c r="B2" s="22">
        <v>3000</v>
      </c>
      <c r="C2" s="22">
        <v>4000</v>
      </c>
      <c r="D2" s="22">
        <v>6000</v>
      </c>
      <c r="E2" s="22">
        <v>7000</v>
      </c>
    </row>
    <row r="3" spans="1:5" x14ac:dyDescent="0.25">
      <c r="A3" s="21" t="s">
        <v>72</v>
      </c>
      <c r="B3" s="22">
        <v>10000</v>
      </c>
      <c r="C3" s="22">
        <v>12000</v>
      </c>
      <c r="D3" s="22">
        <v>14000</v>
      </c>
      <c r="E3" s="22">
        <v>19000</v>
      </c>
    </row>
    <row r="4" spans="1:5" x14ac:dyDescent="0.25">
      <c r="A4" s="21" t="s">
        <v>73</v>
      </c>
      <c r="B4" s="25">
        <v>0.5</v>
      </c>
      <c r="C4" s="25">
        <v>0.4</v>
      </c>
      <c r="D4" s="25">
        <v>0.3</v>
      </c>
      <c r="E4" s="25">
        <v>0.5</v>
      </c>
    </row>
    <row r="5" spans="1:5" x14ac:dyDescent="0.25">
      <c r="A5" s="21" t="s">
        <v>74</v>
      </c>
      <c r="B5" s="22">
        <v>90000</v>
      </c>
      <c r="C5" s="22">
        <v>80000</v>
      </c>
      <c r="D5" s="22">
        <v>100000</v>
      </c>
      <c r="E5" s="22">
        <v>110000</v>
      </c>
    </row>
    <row r="6" spans="1:5" x14ac:dyDescent="0.25">
      <c r="A6" s="21" t="s">
        <v>75</v>
      </c>
      <c r="B6" s="22">
        <v>30000</v>
      </c>
      <c r="C6" s="22">
        <v>40000</v>
      </c>
      <c r="D6" s="22">
        <v>30000</v>
      </c>
      <c r="E6" s="22">
        <v>50000</v>
      </c>
    </row>
    <row r="7" spans="1:5" x14ac:dyDescent="0.25">
      <c r="A7" s="21" t="s">
        <v>55</v>
      </c>
      <c r="B7" s="25">
        <v>0.06</v>
      </c>
      <c r="C7" s="25">
        <v>0.05</v>
      </c>
      <c r="D7" s="25">
        <v>7.0000000000000007E-2</v>
      </c>
      <c r="E7" s="25">
        <v>0.05</v>
      </c>
    </row>
    <row r="8" spans="1:5" x14ac:dyDescent="0.25">
      <c r="A8" s="21" t="s">
        <v>76</v>
      </c>
      <c r="B8" s="23">
        <f>(B3-B2)/B5</f>
        <v>7.7777777777777779E-2</v>
      </c>
      <c r="C8" s="25">
        <f t="shared" ref="C8:E8" si="0">(C3-C2)/C5</f>
        <v>0.1</v>
      </c>
      <c r="D8" s="25">
        <f t="shared" si="0"/>
        <v>0.08</v>
      </c>
      <c r="E8" s="25">
        <f t="shared" si="0"/>
        <v>0.10909090909090909</v>
      </c>
    </row>
    <row r="9" spans="1:5" x14ac:dyDescent="0.25">
      <c r="A9" s="21" t="s">
        <v>77</v>
      </c>
      <c r="B9" s="23">
        <f>B11/B12</f>
        <v>4.3333333333333335E-2</v>
      </c>
      <c r="C9" s="25">
        <f t="shared" ref="C9:E9" si="1">C11/C12</f>
        <v>0.09</v>
      </c>
      <c r="D9" s="25">
        <f t="shared" si="1"/>
        <v>5.8999999999999997E-2</v>
      </c>
      <c r="E9" s="25">
        <f t="shared" si="1"/>
        <v>7.9166666666666663E-2</v>
      </c>
    </row>
    <row r="10" spans="1:5" x14ac:dyDescent="0.25">
      <c r="A10" s="21" t="s">
        <v>78</v>
      </c>
      <c r="B10" s="26" t="s">
        <v>81</v>
      </c>
      <c r="C10" s="26" t="s">
        <v>81</v>
      </c>
      <c r="D10" s="26" t="s">
        <v>81</v>
      </c>
      <c r="E10" s="26" t="s">
        <v>81</v>
      </c>
    </row>
    <row r="11" spans="1:5" x14ac:dyDescent="0.25">
      <c r="A11" s="21" t="s">
        <v>79</v>
      </c>
      <c r="B11" s="22">
        <f>(B3-B2-B6*B7)*(1-B4)</f>
        <v>2600</v>
      </c>
      <c r="C11" s="22">
        <f t="shared" ref="C11:E11" si="2">(C3-C2-C6*C7)*(1-C4)</f>
        <v>3600</v>
      </c>
      <c r="D11" s="22">
        <f t="shared" si="2"/>
        <v>4130</v>
      </c>
      <c r="E11" s="22">
        <f t="shared" si="2"/>
        <v>4750</v>
      </c>
    </row>
    <row r="12" spans="1:5" x14ac:dyDescent="0.25">
      <c r="A12" s="21" t="s">
        <v>80</v>
      </c>
      <c r="B12" s="22">
        <f>B5-B6</f>
        <v>60000</v>
      </c>
      <c r="C12" s="22">
        <f t="shared" ref="C12:E12" si="3">C5-C6</f>
        <v>40000</v>
      </c>
      <c r="D12" s="22">
        <f t="shared" si="3"/>
        <v>70000</v>
      </c>
      <c r="E12" s="22">
        <f t="shared" si="3"/>
        <v>60000</v>
      </c>
    </row>
    <row r="14" spans="1:5" ht="23.25" customHeight="1" x14ac:dyDescent="0.25">
      <c r="A14" s="86" t="s">
        <v>90</v>
      </c>
      <c r="B14" s="86"/>
      <c r="C14" s="86"/>
      <c r="D14" s="86"/>
      <c r="E14" s="86"/>
    </row>
    <row r="15" spans="1:5" x14ac:dyDescent="0.25">
      <c r="A15" s="21" t="s">
        <v>52</v>
      </c>
      <c r="B15" s="25">
        <v>0.2</v>
      </c>
      <c r="C15" s="25">
        <v>0.15</v>
      </c>
      <c r="D15" s="25">
        <v>0.25</v>
      </c>
      <c r="E15" s="25">
        <v>0.2</v>
      </c>
    </row>
    <row r="16" spans="1:5" x14ac:dyDescent="0.25">
      <c r="A16" s="21" t="s">
        <v>74</v>
      </c>
      <c r="B16" s="22">
        <v>1000000</v>
      </c>
      <c r="C16" s="22">
        <v>900000</v>
      </c>
      <c r="D16" s="22">
        <v>1500000</v>
      </c>
      <c r="E16" s="22">
        <v>1200000</v>
      </c>
    </row>
    <row r="17" spans="1:5" x14ac:dyDescent="0.25">
      <c r="A17" s="21" t="s">
        <v>55</v>
      </c>
      <c r="B17" s="25">
        <v>0.08</v>
      </c>
      <c r="C17" s="25">
        <v>7.0000000000000007E-2</v>
      </c>
      <c r="D17" s="25">
        <v>0.09</v>
      </c>
      <c r="E17" s="25">
        <v>0.06</v>
      </c>
    </row>
    <row r="18" spans="1:5" x14ac:dyDescent="0.25">
      <c r="A18" s="21" t="s">
        <v>91</v>
      </c>
      <c r="B18" s="22">
        <f>B16*B15</f>
        <v>200000</v>
      </c>
      <c r="C18" s="22">
        <f t="shared" ref="C18:E18" si="4">C16*C15</f>
        <v>135000</v>
      </c>
      <c r="D18" s="22">
        <f t="shared" si="4"/>
        <v>375000</v>
      </c>
      <c r="E18" s="22">
        <f t="shared" si="4"/>
        <v>240000</v>
      </c>
    </row>
    <row r="19" spans="1:5" x14ac:dyDescent="0.25">
      <c r="A19" s="21" t="s">
        <v>92</v>
      </c>
      <c r="B19" s="21" t="s">
        <v>81</v>
      </c>
      <c r="C19" s="21" t="s">
        <v>81</v>
      </c>
      <c r="D19" s="21" t="s">
        <v>81</v>
      </c>
      <c r="E19" s="21" t="s">
        <v>81</v>
      </c>
    </row>
    <row r="20" spans="1:5" x14ac:dyDescent="0.25">
      <c r="A20" s="21" t="s">
        <v>93</v>
      </c>
      <c r="B20" s="22">
        <f>B22*B17</f>
        <v>53333.333333333328</v>
      </c>
      <c r="C20" s="22">
        <f t="shared" ref="C20:E20" si="5">C22*C17</f>
        <v>47250.000000000007</v>
      </c>
      <c r="D20" s="22">
        <f t="shared" si="5"/>
        <v>90000</v>
      </c>
      <c r="E20" s="22">
        <f t="shared" si="5"/>
        <v>54000</v>
      </c>
    </row>
    <row r="21" spans="1:5" x14ac:dyDescent="0.25">
      <c r="A21" s="21" t="s">
        <v>94</v>
      </c>
      <c r="B21" s="21">
        <v>2</v>
      </c>
      <c r="C21" s="21">
        <v>3</v>
      </c>
      <c r="D21" s="21">
        <v>2</v>
      </c>
      <c r="E21" s="21">
        <v>3</v>
      </c>
    </row>
    <row r="22" spans="1:5" x14ac:dyDescent="0.25">
      <c r="A22" s="21" t="s">
        <v>75</v>
      </c>
      <c r="B22" s="22">
        <f>B16/(1+1/B21)</f>
        <v>666666.66666666663</v>
      </c>
      <c r="C22" s="22">
        <f t="shared" ref="C22:E22" si="6">C16/(1+1/C21)</f>
        <v>675000</v>
      </c>
      <c r="D22" s="22">
        <f t="shared" si="6"/>
        <v>1000000</v>
      </c>
      <c r="E22" s="22">
        <f t="shared" si="6"/>
        <v>900000</v>
      </c>
    </row>
    <row r="24" spans="1:5" ht="23.25" customHeight="1" x14ac:dyDescent="0.25">
      <c r="A24" s="86" t="s">
        <v>105</v>
      </c>
      <c r="B24" s="86"/>
      <c r="C24" s="86"/>
      <c r="D24" s="86"/>
      <c r="E24" s="86"/>
    </row>
    <row r="25" spans="1:5" x14ac:dyDescent="0.25">
      <c r="A25" s="21" t="s">
        <v>52</v>
      </c>
      <c r="B25" s="25">
        <v>0.2</v>
      </c>
      <c r="C25" s="25">
        <v>0.15</v>
      </c>
      <c r="D25" s="25">
        <v>0.25</v>
      </c>
      <c r="E25" s="25">
        <v>0.2</v>
      </c>
    </row>
    <row r="26" spans="1:5" x14ac:dyDescent="0.25">
      <c r="A26" s="21" t="s">
        <v>74</v>
      </c>
      <c r="B26" s="22">
        <v>1000000</v>
      </c>
      <c r="C26" s="22">
        <v>900000</v>
      </c>
      <c r="D26" s="22">
        <v>1500000</v>
      </c>
      <c r="E26" s="22">
        <v>1200000</v>
      </c>
    </row>
    <row r="27" spans="1:5" x14ac:dyDescent="0.25">
      <c r="A27" s="21" t="s">
        <v>55</v>
      </c>
      <c r="B27" s="25">
        <v>0.08</v>
      </c>
      <c r="C27" s="25">
        <v>7.0000000000000007E-2</v>
      </c>
      <c r="D27" s="25">
        <v>0.09</v>
      </c>
      <c r="E27" s="25">
        <v>0.06</v>
      </c>
    </row>
    <row r="28" spans="1:5" x14ac:dyDescent="0.25">
      <c r="A28" s="21" t="s">
        <v>98</v>
      </c>
      <c r="B28" s="22">
        <f>B26*B25</f>
        <v>200000</v>
      </c>
      <c r="C28" s="22">
        <f t="shared" ref="C28:E28" si="7">C26*C25</f>
        <v>135000</v>
      </c>
      <c r="D28" s="22">
        <f t="shared" si="7"/>
        <v>375000</v>
      </c>
      <c r="E28" s="22">
        <f t="shared" si="7"/>
        <v>240000</v>
      </c>
    </row>
    <row r="29" spans="1:5" ht="22.5" x14ac:dyDescent="0.25">
      <c r="A29" s="27" t="s">
        <v>99</v>
      </c>
      <c r="B29" s="21" t="s">
        <v>81</v>
      </c>
      <c r="C29" s="21" t="s">
        <v>81</v>
      </c>
      <c r="D29" s="21" t="s">
        <v>81</v>
      </c>
      <c r="E29" s="21" t="s">
        <v>81</v>
      </c>
    </row>
    <row r="30" spans="1:5" ht="22.5" x14ac:dyDescent="0.25">
      <c r="A30" s="27" t="s">
        <v>100</v>
      </c>
      <c r="B30" s="22">
        <f>B32*B27</f>
        <v>60000</v>
      </c>
      <c r="C30" s="22">
        <f t="shared" ref="C30:E30" si="8">C32*C27</f>
        <v>47250.000000000007</v>
      </c>
      <c r="D30" s="22">
        <f t="shared" si="8"/>
        <v>90000</v>
      </c>
      <c r="E30" s="22">
        <f t="shared" si="8"/>
        <v>54000</v>
      </c>
    </row>
    <row r="31" spans="1:5" x14ac:dyDescent="0.25">
      <c r="A31" s="21" t="s">
        <v>94</v>
      </c>
      <c r="B31" s="21">
        <v>3</v>
      </c>
      <c r="C31" s="21">
        <v>3</v>
      </c>
      <c r="D31" s="21">
        <v>2</v>
      </c>
      <c r="E31" s="21">
        <v>3</v>
      </c>
    </row>
    <row r="32" spans="1:5" x14ac:dyDescent="0.25">
      <c r="A32" s="21" t="s">
        <v>75</v>
      </c>
      <c r="B32" s="22">
        <f>B26/(1+1/B31)</f>
        <v>750000</v>
      </c>
      <c r="C32" s="22">
        <f t="shared" ref="C32:E32" si="9">C26/(1+1/C31)</f>
        <v>675000</v>
      </c>
      <c r="D32" s="22">
        <f t="shared" si="9"/>
        <v>1000000</v>
      </c>
      <c r="E32" s="22">
        <f t="shared" si="9"/>
        <v>900000</v>
      </c>
    </row>
    <row r="34" spans="1:5" ht="22.5" customHeight="1" x14ac:dyDescent="0.25">
      <c r="A34" s="86" t="s">
        <v>104</v>
      </c>
      <c r="B34" s="86"/>
      <c r="C34" s="86"/>
      <c r="D34" s="86"/>
      <c r="E34" s="86"/>
    </row>
    <row r="35" spans="1:5" x14ac:dyDescent="0.25">
      <c r="A35" s="21" t="s">
        <v>106</v>
      </c>
      <c r="B35" s="22">
        <v>140000</v>
      </c>
      <c r="C35" s="22">
        <v>130000</v>
      </c>
      <c r="D35" s="22">
        <v>140000</v>
      </c>
      <c r="E35" s="22">
        <v>100000</v>
      </c>
    </row>
    <row r="36" spans="1:5" x14ac:dyDescent="0.25">
      <c r="A36" s="21" t="s">
        <v>74</v>
      </c>
      <c r="B36" s="22">
        <v>1200000</v>
      </c>
      <c r="C36" s="22">
        <v>1100000</v>
      </c>
      <c r="D36" s="22">
        <v>1500000</v>
      </c>
      <c r="E36" s="22">
        <v>1100000</v>
      </c>
    </row>
    <row r="37" spans="1:5" x14ac:dyDescent="0.25">
      <c r="A37" s="21" t="s">
        <v>55</v>
      </c>
      <c r="B37" s="25">
        <v>0.09</v>
      </c>
      <c r="C37" s="25">
        <v>0.08</v>
      </c>
      <c r="D37" s="25">
        <v>7.0000000000000007E-2</v>
      </c>
      <c r="E37" s="25">
        <v>0.08</v>
      </c>
    </row>
    <row r="38" spans="1:5" x14ac:dyDescent="0.25">
      <c r="A38" s="21" t="s">
        <v>107</v>
      </c>
      <c r="B38" s="25">
        <f>B35/B36</f>
        <v>0.11666666666666667</v>
      </c>
      <c r="C38" s="25">
        <f t="shared" ref="C38:E38" si="10">C35/C36</f>
        <v>0.11818181818181818</v>
      </c>
      <c r="D38" s="25">
        <f t="shared" si="10"/>
        <v>9.3333333333333338E-2</v>
      </c>
      <c r="E38" s="25">
        <f t="shared" si="10"/>
        <v>9.0909090909090912E-2</v>
      </c>
    </row>
    <row r="39" spans="1:5" x14ac:dyDescent="0.25">
      <c r="A39" s="21" t="s">
        <v>108</v>
      </c>
      <c r="B39" s="21" t="s">
        <v>81</v>
      </c>
      <c r="C39" s="21" t="s">
        <v>81</v>
      </c>
      <c r="D39" s="21" t="s">
        <v>81</v>
      </c>
      <c r="E39" s="21" t="s">
        <v>81</v>
      </c>
    </row>
    <row r="40" spans="1:5" ht="33.75" x14ac:dyDescent="0.25">
      <c r="A40" s="27" t="s">
        <v>110</v>
      </c>
      <c r="B40" s="21">
        <f>B41/(B37-B41)</f>
        <v>0.5</v>
      </c>
      <c r="C40" s="28">
        <f t="shared" ref="C40:E40" si="11">C41/(C37-C41)</f>
        <v>1</v>
      </c>
      <c r="D40" s="21">
        <f t="shared" si="11"/>
        <v>1.7999999999999994</v>
      </c>
      <c r="E40" s="21">
        <f t="shared" si="11"/>
        <v>0.6</v>
      </c>
    </row>
    <row r="41" spans="1:5" x14ac:dyDescent="0.25">
      <c r="A41" s="21" t="s">
        <v>109</v>
      </c>
      <c r="B41" s="25">
        <v>0.03</v>
      </c>
      <c r="C41" s="25">
        <v>0.04</v>
      </c>
      <c r="D41" s="23">
        <v>4.4999999999999998E-2</v>
      </c>
      <c r="E41" s="25">
        <v>0.03</v>
      </c>
    </row>
    <row r="43" spans="1:5" x14ac:dyDescent="0.25">
      <c r="A43" s="86" t="s">
        <v>121</v>
      </c>
      <c r="B43" s="86"/>
      <c r="C43" s="86"/>
      <c r="D43" s="86"/>
      <c r="E43" s="86"/>
    </row>
    <row r="44" spans="1:5" x14ac:dyDescent="0.25">
      <c r="A44" s="21" t="s">
        <v>106</v>
      </c>
      <c r="B44" s="22">
        <v>130000</v>
      </c>
      <c r="C44" s="22">
        <v>140000</v>
      </c>
      <c r="D44" s="22">
        <v>100000</v>
      </c>
      <c r="E44" s="22">
        <v>140000</v>
      </c>
    </row>
    <row r="45" spans="1:5" x14ac:dyDescent="0.25">
      <c r="A45" s="21" t="s">
        <v>74</v>
      </c>
      <c r="B45" s="22">
        <v>1100000</v>
      </c>
      <c r="C45" s="22">
        <v>1500000</v>
      </c>
      <c r="D45" s="22">
        <v>1100000</v>
      </c>
      <c r="E45" s="22">
        <v>1200000</v>
      </c>
    </row>
    <row r="46" spans="1:5" x14ac:dyDescent="0.25">
      <c r="A46" s="21" t="s">
        <v>55</v>
      </c>
      <c r="B46" s="25">
        <v>0.08</v>
      </c>
      <c r="C46" s="25">
        <v>7.0000000000000007E-2</v>
      </c>
      <c r="D46" s="25">
        <v>0.08</v>
      </c>
      <c r="E46" s="25">
        <v>0.09</v>
      </c>
    </row>
    <row r="47" spans="1:5" x14ac:dyDescent="0.25">
      <c r="A47" s="21" t="s">
        <v>76</v>
      </c>
      <c r="B47" s="25">
        <f>B44/B45</f>
        <v>0.11818181818181818</v>
      </c>
      <c r="C47" s="25">
        <f t="shared" ref="C47:E47" si="12">C44/C45</f>
        <v>9.3333333333333338E-2</v>
      </c>
      <c r="D47" s="25">
        <f t="shared" si="12"/>
        <v>9.0909090909090912E-2</v>
      </c>
      <c r="E47" s="25">
        <f t="shared" si="12"/>
        <v>0.11666666666666667</v>
      </c>
    </row>
    <row r="48" spans="1:5" x14ac:dyDescent="0.25">
      <c r="A48" s="21" t="s">
        <v>122</v>
      </c>
      <c r="B48" s="26" t="s">
        <v>124</v>
      </c>
      <c r="C48" s="26" t="s">
        <v>124</v>
      </c>
      <c r="D48" s="26" t="s">
        <v>124</v>
      </c>
      <c r="E48" s="26" t="s">
        <v>124</v>
      </c>
    </row>
    <row r="49" spans="1:5" ht="33.75" x14ac:dyDescent="0.25">
      <c r="A49" s="27" t="s">
        <v>123</v>
      </c>
      <c r="B49" s="28">
        <f>B50/(B46-B50)</f>
        <v>1</v>
      </c>
      <c r="C49" s="28">
        <f t="shared" ref="C49:E49" si="13">C50/(C46-C50)</f>
        <v>1.7999999999999994</v>
      </c>
      <c r="D49" s="28">
        <f t="shared" si="13"/>
        <v>0.6</v>
      </c>
      <c r="E49" s="28">
        <f t="shared" si="13"/>
        <v>0.5</v>
      </c>
    </row>
    <row r="50" spans="1:5" x14ac:dyDescent="0.25">
      <c r="A50" s="21" t="s">
        <v>109</v>
      </c>
      <c r="B50" s="25">
        <v>0.04</v>
      </c>
      <c r="C50" s="23">
        <v>4.4999999999999998E-2</v>
      </c>
      <c r="D50" s="25">
        <v>0.03</v>
      </c>
      <c r="E50" s="25">
        <v>0.03</v>
      </c>
    </row>
  </sheetData>
  <mergeCells count="5">
    <mergeCell ref="A1:E1"/>
    <mergeCell ref="A14:E14"/>
    <mergeCell ref="A24:E24"/>
    <mergeCell ref="A34:E34"/>
    <mergeCell ref="A43:E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analisi di bilancio</vt:lpstr>
      <vt:lpstr>bep e leva operativa</vt:lpstr>
      <vt:lpstr>leva finanziaria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</dc:creator>
  <cp:lastModifiedBy>Emilia </cp:lastModifiedBy>
  <cp:lastPrinted>2015-04-23T08:06:21Z</cp:lastPrinted>
  <dcterms:created xsi:type="dcterms:W3CDTF">2013-10-21T16:57:51Z</dcterms:created>
  <dcterms:modified xsi:type="dcterms:W3CDTF">2015-04-23T09:06:38Z</dcterms:modified>
</cp:coreProperties>
</file>